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NodeJS" sheetId="2" r:id="rId4"/>
    <sheet state="visible" name="AngularJS" sheetId="3" r:id="rId5"/>
    <sheet state="visible" name="EmberJS" sheetId="4" r:id="rId6"/>
    <sheet state="visible" name="VueJS" sheetId="5" r:id="rId7"/>
    <sheet state="visible" name="CakePhp" sheetId="6" r:id="rId8"/>
    <sheet state="visible" name="Laravel" sheetId="7" r:id="rId9"/>
    <sheet state="visible" name="Symfony" sheetId="8" r:id="rId10"/>
    <sheet state="visible" name="Cross-correlation" sheetId="9" r:id="rId11"/>
  </sheets>
  <definedNames/>
  <calcPr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</pivotCaches>
</workbook>
</file>

<file path=xl/sharedStrings.xml><?xml version="1.0" encoding="utf-8"?>
<sst xmlns="http://schemas.openxmlformats.org/spreadsheetml/2006/main" count="1042" uniqueCount="189">
  <si>
    <t xml:space="preserve">TRAINING </t>
  </si>
  <si>
    <t>185-pos</t>
  </si>
  <si>
    <t>130-neg</t>
  </si>
  <si>
    <t>Sentiment140</t>
  </si>
  <si>
    <t>Movie reviews</t>
  </si>
  <si>
    <t>My Dataset</t>
  </si>
  <si>
    <t>App reviews (bad results paper)</t>
  </si>
  <si>
    <t>SO dataset just pos/neg (Bad results paper)</t>
  </si>
  <si>
    <t>Classifier metrics for various datasets</t>
  </si>
  <si>
    <t>My dataset</t>
  </si>
  <si>
    <t>App reviews</t>
  </si>
  <si>
    <t>Stack Overflow labeled data</t>
  </si>
  <si>
    <t>Confusion matrix</t>
  </si>
  <si>
    <t>Accuracy</t>
  </si>
  <si>
    <t>Precision</t>
  </si>
  <si>
    <t>Recall</t>
  </si>
  <si>
    <t>F1 measure</t>
  </si>
  <si>
    <t>LinearSVC</t>
  </si>
  <si>
    <t>MultinomialNB</t>
  </si>
  <si>
    <t>F1 score</t>
  </si>
  <si>
    <t>BernoulliNB</t>
  </si>
  <si>
    <t>LogisticRegression</t>
  </si>
  <si>
    <t>SENTIMENT ANALYSIS</t>
  </si>
  <si>
    <t>ALL DATA (Cryptocurrencies)</t>
  </si>
  <si>
    <t>Bitcoin (Nov:March)</t>
  </si>
  <si>
    <t>Ethereum(Nov:March)</t>
  </si>
  <si>
    <t>Altcoins(Nov:March)</t>
  </si>
  <si>
    <t>Altcoins raw sentiment140</t>
  </si>
  <si>
    <t>ALL DATA (Web frameworks) - with Sentiment140 dataset</t>
  </si>
  <si>
    <t>Nodejs</t>
  </si>
  <si>
    <t>AngularJS</t>
  </si>
  <si>
    <t>EmberJS</t>
  </si>
  <si>
    <t>VueJS</t>
  </si>
  <si>
    <t>CakePHP</t>
  </si>
  <si>
    <t>Laravel</t>
  </si>
  <si>
    <t>Symfony</t>
  </si>
  <si>
    <t>Date</t>
  </si>
  <si>
    <t>Score</t>
  </si>
  <si>
    <t>Release Dates</t>
  </si>
  <si>
    <t>Pivot dates</t>
  </si>
  <si>
    <t>Pivot release dates</t>
  </si>
  <si>
    <t>Release Commits</t>
  </si>
  <si>
    <t>Months</t>
  </si>
  <si>
    <t>Diff from average</t>
  </si>
  <si>
    <t>Commit count</t>
  </si>
  <si>
    <t/>
  </si>
  <si>
    <t>Releases/month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</si>
  <si>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</si>
  <si>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</si>
  <si>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</si>
  <si>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</si>
  <si>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</si>
  <si>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</si>
  <si>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</si>
  <si>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</si>
  <si>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</si>
  <si>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</si>
  <si>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</si>
  <si>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</si>
  <si>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</si>
  <si>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</si>
  <si>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</si>
  <si>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</si>
  <si>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</si>
  <si>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</si>
  <si>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</si>
  <si>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</si>
  <si>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</si>
  <si>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</si>
  <si>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</si>
  <si>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</si>
  <si>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</si>
  <si>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</si>
  <si>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</si>
  <si>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</si>
  <si>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</si>
  <si>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</si>
  <si>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</si>
  <si>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</si>
  <si>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</si>
  <si>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</si>
  <si>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</si>
  <si>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</si>
  <si>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</si>
  <si>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</si>
  <si>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</si>
  <si>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</si>
  <si>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</si>
  <si>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</si>
  <si>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</si>
  <si>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</si>
  <si>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</si>
  <si>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</si>
  <si>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</si>
  <si>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</si>
  <si>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</si>
  <si>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</si>
  <si>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</si>
  <si>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</si>
  <si>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</si>
  <si>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</si>
  <si>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</si>
  <si>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</si>
  <si>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</si>
  <si>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</si>
  <si>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</si>
  <si>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</si>
  <si>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</si>
  <si>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</si>
  <si>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</si>
  <si>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</si>
  <si>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</si>
  <si>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2014-12</t>
  </si>
  <si>
    <t>2014-11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</si>
  <si>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</si>
  <si>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</si>
  <si>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</si>
  <si>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</si>
  <si>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</si>
  <si>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</si>
  <si>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</si>
  <si>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</si>
  <si>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</si>
  <si>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</si>
  <si>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</si>
  <si>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</si>
  <si>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</si>
  <si>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</si>
  <si>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</si>
  <si>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</si>
  <si>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</si>
  <si>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</si>
  <si>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</si>
  <si>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</si>
  <si>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</si>
  <si>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</si>
  <si>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</si>
  <si>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</si>
  <si>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</si>
  <si>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</si>
  <si>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</si>
  <si>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</si>
  <si>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</si>
  <si>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</si>
  <si>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</si>
  <si>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</si>
  <si>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</si>
  <si>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Grand Total</t>
  </si>
  <si>
    <t>Statioonary</t>
  </si>
  <si>
    <t>Stationary</t>
  </si>
  <si>
    <t>YYYY-MM</t>
  </si>
  <si>
    <t>lookup</t>
  </si>
  <si>
    <t>Commits count</t>
  </si>
  <si>
    <t>2017-10</t>
  </si>
  <si>
    <t>2017-11</t>
  </si>
  <si>
    <t>Diff from previous</t>
  </si>
  <si>
    <t>2008-12</t>
  </si>
  <si>
    <t>2009-01</t>
  </si>
  <si>
    <t>2009-02</t>
  </si>
  <si>
    <t>2009-03</t>
  </si>
  <si>
    <t>2009-05</t>
  </si>
  <si>
    <t>2009-04</t>
  </si>
  <si>
    <t>Raw Data (Pairing Items)</t>
  </si>
  <si>
    <t>Stack Overflow</t>
  </si>
  <si>
    <t>Number of questions:</t>
  </si>
  <si>
    <t>Questions with "/issues/"</t>
  </si>
  <si>
    <t>Similarity average: 0,2 (0,24 with code snippets)</t>
  </si>
  <si>
    <t>Questions with "name/issues/"</t>
  </si>
  <si>
    <t>Similarity average: 0,22 (0,27 with code snippets)</t>
  </si>
  <si>
    <t>NodeJS</t>
  </si>
  <si>
    <t>Aurelia</t>
  </si>
  <si>
    <t>bower</t>
  </si>
  <si>
    <t>Gulp</t>
  </si>
  <si>
    <t>Bower</t>
  </si>
  <si>
    <t>N. of bugs</t>
  </si>
  <si>
    <t>N. of questions</t>
  </si>
  <si>
    <t>Similarity avg</t>
  </si>
  <si>
    <t>Reddit</t>
  </si>
  <si>
    <t>Own Issue</t>
  </si>
  <si>
    <t xml:space="preserve">Comment Average: </t>
  </si>
  <si>
    <t>DiscussionAverage:</t>
  </si>
  <si>
    <t>All questions paired with all bugs:</t>
  </si>
  <si>
    <t>Pearson's product-moment correlation</t>
  </si>
  <si>
    <t>CakePhp</t>
  </si>
  <si>
    <t>2017-12</t>
  </si>
  <si>
    <t>2018-01</t>
  </si>
  <si>
    <t>2018-02</t>
  </si>
  <si>
    <t>2018-03</t>
  </si>
  <si>
    <t>2018-04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</si>
</sst>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M/d/yyyy"/>
    <numFmt numFmtId="166" formatCode="#,##0.0000"/>
    <numFmt numFmtId="167" formatCode="yyyy-mm-dd"/>
  </numFmts>
  <fonts count="16">
    <font>
      <sz val="10.0"/>
      <color rgb="FF000000"/>
      <name val="Arial"/>
    </font>
    <font>
      <b/>
      <sz val="24.0"/>
      <color rgb="FFFF9900"/>
    </font>
    <font/>
    <font>
      <b/>
    </font>
    <font>
      <b/>
      <sz val="14.0"/>
    </font>
    <font>
      <b/>
      <sz val="15.0"/>
    </font>
    <font>
      <b/>
      <sz val="10.0"/>
    </font>
    <font>
      <color rgb="FF000000"/>
      <name val="Arial"/>
    </font>
    <font>
      <b/>
      <sz val="18.0"/>
      <color rgb="FF4A86E8"/>
    </font>
    <font>
      <sz val="11.0"/>
      <color rgb="FF000000"/>
      <name val="Inconsolata"/>
    </font>
    <font>
      <b/>
      <sz val="12.0"/>
    </font>
    <font>
      <b/>
      <name val="Arial"/>
    </font>
    <font>
      <color rgb="FF242729"/>
      <name val="Consolas"/>
    </font>
    <font>
      <sz val="11.0"/>
      <color rgb="FF7E3794"/>
      <name val="Inconsolata"/>
    </font>
    <font>
      <b/>
      <sz val="18.0"/>
      <color rgb="FFFF9900"/>
    </font>
    <font>
      <b/>
      <sz val="12.0"/>
      <color rgb="FF4A86E8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EFF0F1"/>
        <bgColor rgb="FFEFF0F1"/>
      </patternFill>
    </fill>
    <fill>
      <patternFill patternType="solid">
        <fgColor rgb="FF93C47D"/>
        <bgColor rgb="FF93C47D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7" numFmtId="166" xfId="0" applyAlignment="1" applyFill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2" fillId="0" fontId="2" numFmtId="166" xfId="0" applyAlignment="1" applyBorder="1" applyFont="1" applyNumberFormat="1">
      <alignment readingOrder="0"/>
    </xf>
    <xf borderId="0" fillId="2" fontId="7" numFmtId="166" xfId="0" applyAlignment="1" applyFont="1" applyNumberFormat="1">
      <alignment horizontal="left" readingOrder="0"/>
    </xf>
    <xf borderId="2" fillId="0" fontId="2" numFmtId="0" xfId="0" applyAlignment="1" applyBorder="1" applyFont="1">
      <alignment readingOrder="0"/>
    </xf>
    <xf borderId="0" fillId="2" fontId="7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Font="1" applyNumberFormat="1"/>
    <xf borderId="1" fillId="0" fontId="2" numFmtId="166" xfId="0" applyBorder="1" applyFont="1" applyNumberFormat="1"/>
    <xf borderId="3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2" numFmtId="166" xfId="0" applyFont="1" applyNumberFormat="1"/>
    <xf borderId="0" fillId="2" fontId="9" numFmtId="166" xfId="0" applyFont="1" applyNumberFormat="1"/>
    <xf borderId="0" fillId="0" fontId="2" numFmtId="166" xfId="0" applyAlignment="1" applyFont="1" applyNumberFormat="1">
      <alignment readingOrder="0"/>
    </xf>
    <xf borderId="0" fillId="2" fontId="9" numFmtId="0" xfId="0" applyFont="1"/>
    <xf borderId="0" fillId="0" fontId="2" numFmtId="167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0" fillId="0" fontId="11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horizontal="right" readingOrder="0"/>
    </xf>
    <xf borderId="2" fillId="0" fontId="2" numFmtId="167" xfId="0" applyAlignment="1" applyBorder="1" applyFont="1" applyNumberFormat="1">
      <alignment readingOrder="0"/>
    </xf>
    <xf borderId="0" fillId="0" fontId="2" numFmtId="167" xfId="0" applyAlignment="1" applyFont="1" applyNumberFormat="1">
      <alignment horizontal="right" readingOrder="0"/>
    </xf>
    <xf borderId="0" fillId="2" fontId="9" numFmtId="165" xfId="0" applyFont="1" applyNumberFormat="1"/>
    <xf borderId="0" fillId="2" fontId="9" numFmtId="0" xfId="0" applyFont="1"/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5" fontId="2" numFmtId="0" xfId="0" applyFill="1" applyFont="1"/>
    <xf borderId="0" fillId="3" fontId="2" numFmtId="166" xfId="0" applyFont="1" applyNumberFormat="1"/>
    <xf borderId="0" fillId="4" fontId="2" numFmtId="166" xfId="0" applyFont="1" applyNumberFormat="1"/>
    <xf borderId="0" fillId="6" fontId="12" numFmtId="0" xfId="0" applyAlignment="1" applyFill="1" applyFont="1">
      <alignment horizontal="left"/>
    </xf>
    <xf borderId="1" fillId="0" fontId="2" numFmtId="166" xfId="0" applyBorder="1" applyFont="1" applyNumberFormat="1"/>
    <xf borderId="0" fillId="2" fontId="13" numFmtId="166" xfId="0" applyFont="1" applyNumberFormat="1"/>
    <xf borderId="0" fillId="2" fontId="13" numFmtId="0" xfId="0" applyFont="1"/>
    <xf borderId="0" fillId="4" fontId="2" numFmtId="0" xfId="0" applyFont="1"/>
    <xf borderId="0" fillId="5" fontId="2" numFmtId="0" xfId="0" applyAlignment="1" applyFont="1">
      <alignment readingOrder="0"/>
    </xf>
    <xf borderId="2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 shrinkToFit="0" wrapText="1"/>
    </xf>
    <xf borderId="2" fillId="0" fontId="2" numFmtId="0" xfId="0" applyBorder="1" applyFont="1"/>
    <xf borderId="0" fillId="0" fontId="2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3" fillId="3" fontId="2" numFmtId="0" xfId="0" applyAlignment="1" applyBorder="1" applyFont="1">
      <alignment readingOrder="0"/>
    </xf>
    <xf borderId="3" fillId="0" fontId="2" numFmtId="166" xfId="0" applyAlignment="1" applyBorder="1" applyFont="1" applyNumberFormat="1">
      <alignment readingOrder="0"/>
    </xf>
    <xf borderId="3" fillId="0" fontId="2" numFmtId="0" xfId="0" applyAlignment="1" applyBorder="1" applyFont="1">
      <alignment readingOrder="0" shrinkToFit="0" wrapText="1"/>
    </xf>
    <xf borderId="3" fillId="0" fontId="2" numFmtId="0" xfId="0" applyBorder="1" applyFont="1"/>
    <xf borderId="4" fillId="3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4" fillId="0" fontId="2" numFmtId="0" xfId="0" applyBorder="1" applyFont="1"/>
    <xf borderId="4" fillId="0" fontId="15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0" fillId="7" fontId="9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6.xml"/><Relationship Id="rId16" Type="http://schemas.openxmlformats.org/officeDocument/2006/relationships/pivotCacheDefinition" Target="pivotCache/pivotCacheDefinition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Final classifier performance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Raw!$AK$2</c:f>
            </c:strRef>
          </c:tx>
          <c:spPr>
            <a:solidFill>
              <a:srgbClr val="3366CC"/>
            </a:solidFill>
          </c:spPr>
          <c:cat>
            <c:strRef>
              <c:f>Raw!$AJ$3:$AJ$6</c:f>
            </c:strRef>
          </c:cat>
          <c:val>
            <c:numRef>
              <c:f>Raw!$AK$3:$AK$6</c:f>
            </c:numRef>
          </c:val>
        </c:ser>
        <c:ser>
          <c:idx val="1"/>
          <c:order val="1"/>
          <c:tx>
            <c:strRef>
              <c:f>Raw!$AL$2</c:f>
            </c:strRef>
          </c:tx>
          <c:spPr>
            <a:solidFill>
              <a:srgbClr val="DC3912"/>
            </a:solidFill>
          </c:spPr>
          <c:cat>
            <c:strRef>
              <c:f>Raw!$AJ$3:$AJ$6</c:f>
            </c:strRef>
          </c:cat>
          <c:val>
            <c:numRef>
              <c:f>Raw!$AL$3:$AL$6</c:f>
            </c:numRef>
          </c:val>
        </c:ser>
        <c:ser>
          <c:idx val="2"/>
          <c:order val="2"/>
          <c:tx>
            <c:strRef>
              <c:f>Raw!$AM$2</c:f>
            </c:strRef>
          </c:tx>
          <c:spPr>
            <a:solidFill>
              <a:srgbClr val="FF9900"/>
            </a:solidFill>
          </c:spPr>
          <c:cat>
            <c:strRef>
              <c:f>Raw!$AJ$3:$AJ$6</c:f>
            </c:strRef>
          </c:cat>
          <c:val>
            <c:numRef>
              <c:f>Raw!$AM$3:$AM$6</c:f>
            </c:numRef>
          </c:val>
        </c:ser>
        <c:ser>
          <c:idx val="3"/>
          <c:order val="3"/>
          <c:tx>
            <c:strRef>
              <c:f>Raw!$AN$2</c:f>
            </c:strRef>
          </c:tx>
          <c:spPr>
            <a:solidFill>
              <a:srgbClr val="109618"/>
            </a:solidFill>
          </c:spPr>
          <c:cat>
            <c:strRef>
              <c:f>Raw!$AJ$3:$AJ$6</c:f>
            </c:strRef>
          </c:cat>
          <c:val>
            <c:numRef>
              <c:f>Raw!$AN$3:$AN$6</c:f>
            </c:numRef>
          </c:val>
        </c:ser>
        <c:ser>
          <c:idx val="4"/>
          <c:order val="4"/>
          <c:tx>
            <c:strRef>
              <c:f>Raw!$AO$2</c:f>
            </c:strRef>
          </c:tx>
          <c:spPr>
            <a:solidFill>
              <a:srgbClr val="990099"/>
            </a:solidFill>
          </c:spPr>
          <c:cat>
            <c:strRef>
              <c:f>Raw!$AJ$3:$AJ$6</c:f>
            </c:strRef>
          </c:cat>
          <c:val>
            <c:numRef>
              <c:f>Raw!$AO$3:$AO$6</c:f>
            </c:numRef>
          </c:val>
        </c:ser>
        <c:axId val="1761131069"/>
        <c:axId val="230602136"/>
      </c:barChart>
      <c:catAx>
        <c:axId val="1761131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 metrics for various datasets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0602136"/>
      </c:catAx>
      <c:valAx>
        <c:axId val="230602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1131069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EmberJS!$L$3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EmberJS!$G$4:$G$68</c:f>
            </c:strRef>
          </c:cat>
          <c:val>
            <c:numRef>
              <c:f>EmberJS!$L$4:$L$68</c:f>
            </c:numRef>
          </c:val>
        </c:ser>
        <c:axId val="719320156"/>
        <c:axId val="634089284"/>
      </c:barChart>
      <c:catAx>
        <c:axId val="7193201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34089284"/>
      </c:catAx>
      <c:valAx>
        <c:axId val="634089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9320156"/>
      </c:valAx>
      <c:lineChart>
        <c:varyColors val="0"/>
        <c:ser>
          <c:idx val="1"/>
          <c:order val="1"/>
          <c:tx>
            <c:strRef>
              <c:f>EmberJS!$I$3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EmberJS!$G$4:$G$68</c:f>
            </c:strRef>
          </c:cat>
          <c:val>
            <c:numRef>
              <c:f>EmberJS!$I$4:$I$68</c:f>
            </c:numRef>
          </c:val>
          <c:smooth val="0"/>
        </c:ser>
        <c:axId val="1681548607"/>
        <c:axId val="573965612"/>
      </c:lineChart>
      <c:catAx>
        <c:axId val="1681548607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573965612"/>
      </c:catAx>
      <c:valAx>
        <c:axId val="5739656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1548607"/>
        <c:crosses val="max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EmberJS!$H$6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EmberJS!$G$7:$G$73</c:f>
            </c:strRef>
          </c:cat>
          <c:val>
            <c:numRef>
              <c:f>EmberJS!$H$7:$H$73</c:f>
            </c:numRef>
          </c:val>
        </c:ser>
        <c:axId val="195666773"/>
        <c:axId val="396015958"/>
      </c:barChart>
      <c:catAx>
        <c:axId val="195666773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1" sz="1800"/>
            </a:pPr>
          </a:p>
        </c:txPr>
        <c:crossAx val="396015958"/>
      </c:catAx>
      <c:valAx>
        <c:axId val="39601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95666773"/>
      </c:valAx>
      <c:lineChart>
        <c:varyColors val="0"/>
        <c:ser>
          <c:idx val="1"/>
          <c:order val="1"/>
          <c:tx>
            <c:strRef>
              <c:f>EmberJS!$I$6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EmberJS!$G$7:$G$73</c:f>
            </c:strRef>
          </c:cat>
          <c:val>
            <c:numRef>
              <c:f>EmberJS!$I$7:$I$73</c:f>
            </c:numRef>
          </c:val>
          <c:smooth val="0"/>
        </c:ser>
        <c:axId val="1650241962"/>
        <c:axId val="1188654884"/>
      </c:lineChart>
      <c:catAx>
        <c:axId val="1650241962"/>
        <c:scaling>
          <c:orientation val="minMax"/>
        </c:scaling>
        <c:delete val="1"/>
        <c:axPos val="b"/>
        <c:txPr>
          <a:bodyPr/>
          <a:lstStyle/>
          <a:p>
            <a:pPr lvl="0">
              <a:defRPr b="1" i="1" sz="1800"/>
            </a:pPr>
          </a:p>
        </c:txPr>
        <c:crossAx val="1188654884"/>
      </c:catAx>
      <c:valAx>
        <c:axId val="118865488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650241962"/>
        <c:crosses val="max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VueJS!$L$3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VueJS!$G$4:$G$44</c:f>
            </c:strRef>
          </c:cat>
          <c:val>
            <c:numRef>
              <c:f>VueJS!$L$4:$L$44</c:f>
            </c:numRef>
          </c:val>
        </c:ser>
        <c:axId val="764078325"/>
        <c:axId val="129264256"/>
      </c:barChart>
      <c:catAx>
        <c:axId val="7640783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264256"/>
      </c:catAx>
      <c:valAx>
        <c:axId val="12926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4078325"/>
      </c:valAx>
      <c:lineChart>
        <c:varyColors val="0"/>
        <c:ser>
          <c:idx val="1"/>
          <c:order val="1"/>
          <c:tx>
            <c:strRef>
              <c:f>VueJS!$I$3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VueJS!$G$4:$G$44</c:f>
            </c:strRef>
          </c:cat>
          <c:val>
            <c:numRef>
              <c:f>VueJS!$I$4:$I$44</c:f>
            </c:numRef>
          </c:val>
          <c:smooth val="0"/>
        </c:ser>
        <c:axId val="1502462848"/>
        <c:axId val="1065214864"/>
      </c:lineChart>
      <c:catAx>
        <c:axId val="1502462848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065214864"/>
      </c:catAx>
      <c:valAx>
        <c:axId val="10652148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2462848"/>
        <c:crosses val="max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VueJS!$H$2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VueJS!$G$3:$G$43</c:f>
            </c:strRef>
          </c:cat>
          <c:val>
            <c:numRef>
              <c:f>VueJS!$H$3:$H$43</c:f>
            </c:numRef>
          </c:val>
        </c:ser>
        <c:axId val="568918939"/>
        <c:axId val="1071171487"/>
      </c:barChart>
      <c:catAx>
        <c:axId val="568918939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1" sz="1800"/>
            </a:pPr>
          </a:p>
        </c:txPr>
        <c:crossAx val="1071171487"/>
      </c:catAx>
      <c:valAx>
        <c:axId val="1071171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568918939"/>
      </c:valAx>
      <c:lineChart>
        <c:varyColors val="0"/>
        <c:ser>
          <c:idx val="1"/>
          <c:order val="1"/>
          <c:tx>
            <c:strRef>
              <c:f>VueJS!$I$2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VueJS!$G$3:$G$43</c:f>
            </c:strRef>
          </c:cat>
          <c:val>
            <c:numRef>
              <c:f>VueJS!$I$3:$I$43</c:f>
            </c:numRef>
          </c:val>
          <c:smooth val="0"/>
        </c:ser>
        <c:axId val="489801145"/>
        <c:axId val="311065634"/>
      </c:lineChart>
      <c:catAx>
        <c:axId val="489801145"/>
        <c:scaling>
          <c:orientation val="minMax"/>
        </c:scaling>
        <c:delete val="1"/>
        <c:axPos val="b"/>
        <c:txPr>
          <a:bodyPr/>
          <a:lstStyle/>
          <a:p>
            <a:pPr lvl="0">
              <a:defRPr b="1" i="1" sz="1800"/>
            </a:pPr>
          </a:p>
        </c:txPr>
        <c:crossAx val="311065634"/>
      </c:catAx>
      <c:valAx>
        <c:axId val="3110656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489801145"/>
        <c:crosses val="max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CakePhp!$L$2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CakePhp!$G$3:$G$92</c:f>
            </c:strRef>
          </c:cat>
          <c:val>
            <c:numRef>
              <c:f>CakePhp!$L$3:$L$92</c:f>
            </c:numRef>
          </c:val>
        </c:ser>
        <c:axId val="494724762"/>
        <c:axId val="1526719717"/>
      </c:barChart>
      <c:catAx>
        <c:axId val="4947247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6719717"/>
      </c:catAx>
      <c:valAx>
        <c:axId val="152671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4724762"/>
      </c:valAx>
      <c:lineChart>
        <c:varyColors val="0"/>
        <c:ser>
          <c:idx val="1"/>
          <c:order val="1"/>
          <c:tx>
            <c:strRef>
              <c:f>CakePhp!$I$2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CakePhp!$G$3:$G$92</c:f>
            </c:strRef>
          </c:cat>
          <c:val>
            <c:numRef>
              <c:f>CakePhp!$I$3:$I$92</c:f>
            </c:numRef>
          </c:val>
          <c:smooth val="0"/>
        </c:ser>
        <c:axId val="700597085"/>
        <c:axId val="1938457269"/>
      </c:lineChart>
      <c:catAx>
        <c:axId val="700597085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938457269"/>
      </c:catAx>
      <c:valAx>
        <c:axId val="19384572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0597085"/>
        <c:crosses val="max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CakePhp!$H$2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CakePhp!$G$3:$G$89</c:f>
            </c:strRef>
          </c:cat>
          <c:val>
            <c:numRef>
              <c:f>CakePhp!$H$3:$H$89</c:f>
            </c:numRef>
          </c:val>
        </c:ser>
        <c:axId val="1366544419"/>
        <c:axId val="848230691"/>
      </c:barChart>
      <c:catAx>
        <c:axId val="1366544419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1" sz="1800"/>
            </a:pPr>
          </a:p>
        </c:txPr>
        <c:crossAx val="848230691"/>
      </c:catAx>
      <c:valAx>
        <c:axId val="84823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366544419"/>
      </c:valAx>
      <c:lineChart>
        <c:varyColors val="0"/>
        <c:ser>
          <c:idx val="1"/>
          <c:order val="1"/>
          <c:tx>
            <c:strRef>
              <c:f>CakePhp!$I$2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CakePhp!$G$3:$G$89</c:f>
            </c:strRef>
          </c:cat>
          <c:val>
            <c:numRef>
              <c:f>CakePhp!$I$3:$I$89</c:f>
            </c:numRef>
          </c:val>
          <c:smooth val="0"/>
        </c:ser>
        <c:axId val="1192407985"/>
        <c:axId val="142516312"/>
      </c:lineChart>
      <c:catAx>
        <c:axId val="1192407985"/>
        <c:scaling>
          <c:orientation val="minMax"/>
        </c:scaling>
        <c:delete val="1"/>
        <c:axPos val="b"/>
        <c:txPr>
          <a:bodyPr/>
          <a:lstStyle/>
          <a:p>
            <a:pPr lvl="0">
              <a:defRPr b="1" i="1" sz="1800"/>
            </a:pPr>
          </a:p>
        </c:txPr>
        <c:crossAx val="142516312"/>
      </c:catAx>
      <c:valAx>
        <c:axId val="1425163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192407985"/>
        <c:crosses val="max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 diff from previous month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CakePhp!$T$2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CakePhp!$S$3:$S$89</c:f>
            </c:strRef>
          </c:cat>
          <c:val>
            <c:numRef>
              <c:f>CakePhp!$T$3:$T$89</c:f>
            </c:numRef>
          </c:val>
        </c:ser>
        <c:axId val="1182166161"/>
        <c:axId val="337342040"/>
      </c:barChart>
      <c:catAx>
        <c:axId val="11821661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7342040"/>
      </c:catAx>
      <c:valAx>
        <c:axId val="337342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2166161"/>
      </c:valAx>
      <c:lineChart>
        <c:varyColors val="0"/>
        <c:ser>
          <c:idx val="1"/>
          <c:order val="1"/>
          <c:tx>
            <c:strRef>
              <c:f>CakePhp!$U$2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CakePhp!$S$3:$S$89</c:f>
            </c:strRef>
          </c:cat>
          <c:val>
            <c:numRef>
              <c:f>CakePhp!$U$3:$U$89</c:f>
            </c:numRef>
          </c:val>
          <c:smooth val="0"/>
        </c:ser>
        <c:axId val="139010227"/>
        <c:axId val="453270873"/>
      </c:lineChart>
      <c:catAx>
        <c:axId val="139010227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453270873"/>
      </c:catAx>
      <c:valAx>
        <c:axId val="4532708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010227"/>
        <c:crosses val="max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Laravel!$L$3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Laravel!$G$4:$G$47</c:f>
            </c:strRef>
          </c:cat>
          <c:val>
            <c:numRef>
              <c:f>Laravel!$L$4:$L$47</c:f>
            </c:numRef>
          </c:val>
        </c:ser>
        <c:axId val="943720309"/>
        <c:axId val="1449512657"/>
      </c:barChart>
      <c:catAx>
        <c:axId val="9437203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9512657"/>
      </c:catAx>
      <c:valAx>
        <c:axId val="144951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3720309"/>
      </c:valAx>
      <c:lineChart>
        <c:varyColors val="0"/>
        <c:ser>
          <c:idx val="1"/>
          <c:order val="1"/>
          <c:tx>
            <c:strRef>
              <c:f>Laravel!$I$3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Laravel!$G$4:$G$47</c:f>
            </c:strRef>
          </c:cat>
          <c:val>
            <c:numRef>
              <c:f>Laravel!$I$4:$I$47</c:f>
            </c:numRef>
          </c:val>
          <c:smooth val="0"/>
        </c:ser>
        <c:axId val="2137765094"/>
        <c:axId val="1571656701"/>
      </c:lineChart>
      <c:catAx>
        <c:axId val="2137765094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571656701"/>
      </c:catAx>
      <c:valAx>
        <c:axId val="15716567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7765094"/>
        <c:crosses val="max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Laravel!$H$2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Laravel!$G$3:$G$47</c:f>
            </c:strRef>
          </c:cat>
          <c:val>
            <c:numRef>
              <c:f>Laravel!$H$3:$H$47</c:f>
            </c:numRef>
          </c:val>
        </c:ser>
        <c:axId val="938774077"/>
        <c:axId val="411246476"/>
      </c:barChart>
      <c:catAx>
        <c:axId val="938774077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1" sz="1800"/>
            </a:pPr>
          </a:p>
        </c:txPr>
        <c:crossAx val="411246476"/>
      </c:catAx>
      <c:valAx>
        <c:axId val="41124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938774077"/>
      </c:valAx>
      <c:lineChart>
        <c:varyColors val="0"/>
        <c:ser>
          <c:idx val="1"/>
          <c:order val="1"/>
          <c:tx>
            <c:strRef>
              <c:f>Laravel!$I$2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Laravel!$G$3:$G$47</c:f>
            </c:strRef>
          </c:cat>
          <c:val>
            <c:numRef>
              <c:f>Laravel!$I$3:$I$47</c:f>
            </c:numRef>
          </c:val>
          <c:smooth val="0"/>
        </c:ser>
        <c:axId val="1317642208"/>
        <c:axId val="1417065997"/>
      </c:lineChart>
      <c:catAx>
        <c:axId val="1317642208"/>
        <c:scaling>
          <c:orientation val="minMax"/>
        </c:scaling>
        <c:delete val="1"/>
        <c:axPos val="b"/>
        <c:txPr>
          <a:bodyPr/>
          <a:lstStyle/>
          <a:p>
            <a:pPr lvl="0">
              <a:defRPr b="1" i="1" sz="1800"/>
            </a:pPr>
          </a:p>
        </c:txPr>
        <c:crossAx val="1417065997"/>
      </c:catAx>
      <c:valAx>
        <c:axId val="14170659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317642208"/>
        <c:crosses val="max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Symfony!$L$3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Symfony!$G$4:$G$85</c:f>
            </c:strRef>
          </c:cat>
          <c:val>
            <c:numRef>
              <c:f>Symfony!$L$4:$L$85</c:f>
            </c:numRef>
          </c:val>
        </c:ser>
        <c:axId val="1279884168"/>
        <c:axId val="1276366129"/>
      </c:barChart>
      <c:catAx>
        <c:axId val="12798841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6366129"/>
      </c:catAx>
      <c:valAx>
        <c:axId val="127636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9884168"/>
      </c:valAx>
      <c:lineChart>
        <c:varyColors val="0"/>
        <c:ser>
          <c:idx val="1"/>
          <c:order val="1"/>
          <c:tx>
            <c:strRef>
              <c:f>Symfony!$I$3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Symfony!$G$4:$G$85</c:f>
            </c:strRef>
          </c:cat>
          <c:val>
            <c:numRef>
              <c:f>Symfony!$I$4:$I$85</c:f>
            </c:numRef>
          </c:val>
          <c:smooth val="0"/>
        </c:ser>
        <c:axId val="167308850"/>
        <c:axId val="533762312"/>
      </c:lineChart>
      <c:catAx>
        <c:axId val="167308850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533762312"/>
      </c:catAx>
      <c:valAx>
        <c:axId val="5337623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308850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NodeJS!$L$3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NodeJS!$G$4:$G$99</c:f>
            </c:strRef>
          </c:cat>
          <c:val>
            <c:numRef>
              <c:f>NodeJS!$L$4:$L$99</c:f>
            </c:numRef>
          </c:val>
        </c:ser>
        <c:axId val="1594308213"/>
        <c:axId val="1733903546"/>
      </c:barChart>
      <c:catAx>
        <c:axId val="15943082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3903546"/>
      </c:catAx>
      <c:valAx>
        <c:axId val="173390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308213"/>
      </c:valAx>
      <c:lineChart>
        <c:varyColors val="0"/>
        <c:ser>
          <c:idx val="1"/>
          <c:order val="1"/>
          <c:tx>
            <c:strRef>
              <c:f>NodeJS!$I$3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NodeJS!$G$4:$G$99</c:f>
            </c:strRef>
          </c:cat>
          <c:val>
            <c:numRef>
              <c:f>NodeJS!$I$4:$I$99</c:f>
            </c:numRef>
          </c:val>
          <c:smooth val="0"/>
        </c:ser>
        <c:axId val="368244479"/>
        <c:axId val="1318366733"/>
      </c:lineChart>
      <c:catAx>
        <c:axId val="368244479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318366733"/>
      </c:catAx>
      <c:valAx>
        <c:axId val="13183667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8244479"/>
        <c:crosses val="max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Symfony!$H$2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Symfony!$G$3:$G$85</c:f>
            </c:strRef>
          </c:cat>
          <c:val>
            <c:numRef>
              <c:f>Symfony!$H$3:$H$85</c:f>
            </c:numRef>
          </c:val>
        </c:ser>
        <c:axId val="154308039"/>
        <c:axId val="1816696397"/>
      </c:barChart>
      <c:catAx>
        <c:axId val="1543080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6696397"/>
      </c:catAx>
      <c:valAx>
        <c:axId val="1816696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308039"/>
      </c:valAx>
      <c:lineChart>
        <c:varyColors val="0"/>
        <c:ser>
          <c:idx val="1"/>
          <c:order val="1"/>
          <c:tx>
            <c:strRef>
              <c:f>Symfony!$I$2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Symfony!$G$3:$G$85</c:f>
            </c:strRef>
          </c:cat>
          <c:val>
            <c:numRef>
              <c:f>Symfony!$I$3:$I$85</c:f>
            </c:numRef>
          </c:val>
          <c:smooth val="0"/>
        </c:ser>
        <c:axId val="2125025392"/>
        <c:axId val="1094040386"/>
      </c:lineChart>
      <c:catAx>
        <c:axId val="2125025392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094040386"/>
      </c:catAx>
      <c:valAx>
        <c:axId val="10940403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5025392"/>
        <c:crosses val="max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NodeJS!$H$1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NodeJS!$G$2:$G$100</c:f>
            </c:strRef>
          </c:cat>
          <c:val>
            <c:numRef>
              <c:f>NodeJS!$H$2:$H$100</c:f>
            </c:numRef>
          </c:val>
        </c:ser>
        <c:axId val="1309318879"/>
        <c:axId val="973904611"/>
      </c:barChart>
      <c:catAx>
        <c:axId val="1309318879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800"/>
            </a:pPr>
          </a:p>
        </c:txPr>
        <c:crossAx val="973904611"/>
      </c:catAx>
      <c:valAx>
        <c:axId val="97390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800"/>
            </a:pPr>
          </a:p>
        </c:txPr>
        <c:crossAx val="1309318879"/>
      </c:valAx>
      <c:lineChart>
        <c:varyColors val="0"/>
        <c:ser>
          <c:idx val="1"/>
          <c:order val="1"/>
          <c:tx>
            <c:strRef>
              <c:f>NodeJS!$I$1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NodeJS!$G$2:$G$100</c:f>
            </c:strRef>
          </c:cat>
          <c:val>
            <c:numRef>
              <c:f>NodeJS!$I$2:$I$100</c:f>
            </c:numRef>
          </c:val>
          <c:smooth val="0"/>
        </c:ser>
        <c:axId val="1406747163"/>
        <c:axId val="397687469"/>
      </c:lineChart>
      <c:catAx>
        <c:axId val="1406747163"/>
        <c:scaling>
          <c:orientation val="minMax"/>
        </c:scaling>
        <c:delete val="1"/>
        <c:axPos val="b"/>
        <c:txPr>
          <a:bodyPr/>
          <a:lstStyle/>
          <a:p>
            <a:pPr lvl="0">
              <a:defRPr b="1" sz="1800"/>
            </a:pPr>
          </a:p>
        </c:txPr>
        <c:crossAx val="397687469"/>
      </c:catAx>
      <c:valAx>
        <c:axId val="3976874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406747163"/>
        <c:crosses val="max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differentiated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NodeJS!$T$1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NodeJS!$S$2:$S$100</c:f>
            </c:strRef>
          </c:cat>
          <c:val>
            <c:numRef>
              <c:f>NodeJS!$T$2:$T$100</c:f>
            </c:numRef>
          </c:val>
        </c:ser>
        <c:axId val="1940407065"/>
        <c:axId val="1813329164"/>
      </c:barChart>
      <c:catAx>
        <c:axId val="19404070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3329164"/>
      </c:catAx>
      <c:valAx>
        <c:axId val="1813329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0407065"/>
      </c:valAx>
      <c:lineChart>
        <c:varyColors val="0"/>
        <c:ser>
          <c:idx val="1"/>
          <c:order val="1"/>
          <c:tx>
            <c:strRef>
              <c:f>NodeJS!$U$1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NodeJS!$S$2:$S$100</c:f>
            </c:strRef>
          </c:cat>
          <c:val>
            <c:numRef>
              <c:f>NodeJS!$U$2:$U$100</c:f>
            </c:numRef>
          </c:val>
          <c:smooth val="0"/>
        </c:ser>
        <c:axId val="589050923"/>
        <c:axId val="1498537950"/>
      </c:lineChart>
      <c:catAx>
        <c:axId val="589050923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498537950"/>
      </c:catAx>
      <c:valAx>
        <c:axId val="14985379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9050923"/>
        <c:crosses val="max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Diff from average v. Release Dates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AngularJS!$C$1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AngularJS!$A$2:$A$84</c:f>
            </c:numRef>
          </c:xVal>
          <c:yVal>
            <c:numRef>
              <c:f>AngularJS!$C$2:$C$84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74"/>
        <c:axId val="361141472"/>
      </c:scatterChart>
      <c:valAx>
        <c:axId val="19789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Release 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1141472"/>
      </c:valAx>
      <c:valAx>
        <c:axId val="361141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Diff from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937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AngularJS!$H$3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AngularJS!$G$4:$G$73</c:f>
            </c:strRef>
          </c:cat>
          <c:val>
            <c:numRef>
              <c:f>AngularJS!$H$4:$H$73</c:f>
            </c:numRef>
          </c:val>
        </c:ser>
        <c:axId val="334755167"/>
        <c:axId val="1932209053"/>
      </c:barChart>
      <c:catAx>
        <c:axId val="334755167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1" sz="1800"/>
            </a:pPr>
          </a:p>
        </c:txPr>
        <c:crossAx val="1932209053"/>
      </c:catAx>
      <c:valAx>
        <c:axId val="193220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334755167"/>
      </c:valAx>
      <c:lineChart>
        <c:varyColors val="0"/>
        <c:ser>
          <c:idx val="1"/>
          <c:order val="1"/>
          <c:tx>
            <c:strRef>
              <c:f>AngularJS!$I$3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AngularJS!$G$4:$G$73</c:f>
            </c:strRef>
          </c:cat>
          <c:val>
            <c:numRef>
              <c:f>AngularJS!$I$4:$I$73</c:f>
            </c:numRef>
          </c:val>
          <c:smooth val="0"/>
        </c:ser>
        <c:axId val="1187245741"/>
        <c:axId val="96376339"/>
      </c:lineChart>
      <c:catAx>
        <c:axId val="1187245741"/>
        <c:scaling>
          <c:orientation val="minMax"/>
        </c:scaling>
        <c:delete val="1"/>
        <c:axPos val="b"/>
        <c:txPr>
          <a:bodyPr/>
          <a:lstStyle/>
          <a:p>
            <a:pPr lvl="0">
              <a:defRPr b="1" i="1" sz="1800"/>
            </a:pPr>
          </a:p>
        </c:txPr>
        <c:crossAx val="96376339"/>
      </c:catAx>
      <c:valAx>
        <c:axId val="963763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1" sz="1800"/>
            </a:pPr>
          </a:p>
        </c:txPr>
        <c:crossAx val="1187245741"/>
        <c:crosses val="max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Commits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AngularJS!$L$3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B6D7A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AngularJS!$G$4:$G$67</c:f>
            </c:strRef>
          </c:cat>
          <c:val>
            <c:numRef>
              <c:f>AngularJS!$L$4:$L$67</c:f>
            </c:numRef>
          </c:val>
        </c:ser>
        <c:axId val="741076076"/>
        <c:axId val="554953489"/>
      </c:barChart>
      <c:catAx>
        <c:axId val="7410760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4953489"/>
      </c:catAx>
      <c:valAx>
        <c:axId val="554953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1076076"/>
      </c:valAx>
      <c:lineChart>
        <c:varyColors val="0"/>
        <c:ser>
          <c:idx val="1"/>
          <c:order val="1"/>
          <c:tx>
            <c:strRef>
              <c:f>AngularJS!$I$3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06666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AngularJS!$G$4:$G$67</c:f>
            </c:strRef>
          </c:cat>
          <c:val>
            <c:numRef>
              <c:f>AngularJS!$I$4:$I$73</c:f>
            </c:numRef>
          </c:val>
          <c:smooth val="0"/>
        </c:ser>
        <c:axId val="1483730230"/>
        <c:axId val="1684133664"/>
      </c:lineChart>
      <c:catAx>
        <c:axId val="1483730230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684133664"/>
      </c:catAx>
      <c:valAx>
        <c:axId val="16841336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3730230"/>
        <c:crosses val="max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Releases &amp; sentiment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AngularJS!$T$3</c:f>
            </c:strRef>
          </c:tx>
          <c:spPr>
            <a:solidFill>
              <a:srgbClr val="B6D7A8"/>
            </a:solidFill>
          </c:spPr>
          <c:trendline>
            <c:name/>
            <c:spPr>
              <a:ln w="19050">
                <a:solidFill>
                  <a:srgbClr val="38761D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AngularJS!$S$4:$S$73</c:f>
            </c:strRef>
          </c:cat>
          <c:val>
            <c:numRef>
              <c:f>AngularJS!$T$4:$T$73</c:f>
            </c:numRef>
          </c:val>
        </c:ser>
        <c:axId val="1506647683"/>
        <c:axId val="632522082"/>
      </c:barChart>
      <c:catAx>
        <c:axId val="15066476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32522082"/>
      </c:catAx>
      <c:valAx>
        <c:axId val="632522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6647683"/>
      </c:valAx>
      <c:lineChart>
        <c:varyColors val="0"/>
        <c:ser>
          <c:idx val="1"/>
          <c:order val="1"/>
          <c:tx>
            <c:strRef>
              <c:f>AngularJS!$U$3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AngularJS!$S$4:$S$73</c:f>
            </c:strRef>
          </c:cat>
          <c:val>
            <c:numRef>
              <c:f>AngularJS!$U$4:$U$73</c:f>
            </c:numRef>
          </c:val>
          <c:smooth val="0"/>
        </c:ser>
        <c:axId val="292609222"/>
        <c:axId val="721635510"/>
      </c:lineChart>
      <c:catAx>
        <c:axId val="292609222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721635510"/>
      </c:catAx>
      <c:valAx>
        <c:axId val="7216355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2609222"/>
        <c:crosses val="max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Diff from average v. Release Dates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EmberJS!$C$1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EmberJS!$A$2:$A$73</c:f>
            </c:numRef>
          </c:xVal>
          <c:yVal>
            <c:numRef>
              <c:f>EmberJS!$C$2:$C$73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2400"/>
        <c:axId val="504078594"/>
      </c:scatterChart>
      <c:valAx>
        <c:axId val="100862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Release Dates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4078594"/>
      </c:valAx>
      <c:valAx>
        <c:axId val="504078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Diff from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86240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34</xdr:col>
      <xdr:colOff>914400</xdr:colOff>
      <xdr:row>6</xdr:row>
      <xdr:rowOff>190500</xdr:rowOff>
    </xdr:from>
    <xdr:ext cx="5715000" cy="3533775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485775</xdr:colOff>
      <xdr:row>19</xdr:row>
      <xdr:rowOff>28575</xdr:rowOff>
    </xdr:from>
    <xdr:ext cx="5762625" cy="3562350"/>
    <xdr:graphicFrame>
      <xdr:nvGraphicFramePr>
        <xdr:cNvPr id="3" name="Chart 3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514350</xdr:colOff>
      <xdr:row>0</xdr:row>
      <xdr:rowOff>0</xdr:rowOff>
    </xdr:from>
    <xdr:ext cx="5762625" cy="3562350"/>
    <xdr:graphicFrame>
      <xdr:nvGraphicFramePr>
        <xdr:cNvPr id="5" name="Chart 5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123825</xdr:colOff>
      <xdr:row>0</xdr:row>
      <xdr:rowOff>0</xdr:rowOff>
    </xdr:from>
    <xdr:ext cx="5762625" cy="3562350"/>
    <xdr:graphicFrame>
      <xdr:nvGraphicFramePr>
        <xdr:cNvPr id="7" name="Chart 7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771525</xdr:colOff>
      <xdr:row>38</xdr:row>
      <xdr:rowOff>19050</xdr:rowOff>
    </xdr:from>
    <xdr:ext cx="5715000" cy="3533775"/>
    <xdr:graphicFrame>
      <xdr:nvGraphicFramePr>
        <xdr:cNvPr id="2" name="Chart 2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590550</xdr:colOff>
      <xdr:row>0</xdr:row>
      <xdr:rowOff>57150</xdr:rowOff>
    </xdr:from>
    <xdr:ext cx="5715000" cy="3533775"/>
    <xdr:graphicFrame>
      <xdr:nvGraphicFramePr>
        <xdr:cNvPr id="4" name="Chart 4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600075</xdr:colOff>
      <xdr:row>18</xdr:row>
      <xdr:rowOff>161925</xdr:rowOff>
    </xdr:from>
    <xdr:ext cx="5715000" cy="3533775"/>
    <xdr:graphicFrame>
      <xdr:nvGraphicFramePr>
        <xdr:cNvPr id="6" name="Chart 6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209550</xdr:colOff>
      <xdr:row>0</xdr:row>
      <xdr:rowOff>0</xdr:rowOff>
    </xdr:from>
    <xdr:ext cx="5715000" cy="3533775"/>
    <xdr:graphicFrame>
      <xdr:nvGraphicFramePr>
        <xdr:cNvPr id="8" name="Chart 8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504825</xdr:colOff>
      <xdr:row>37</xdr:row>
      <xdr:rowOff>66675</xdr:rowOff>
    </xdr:from>
    <xdr:ext cx="5715000" cy="3533775"/>
    <xdr:graphicFrame>
      <xdr:nvGraphicFramePr>
        <xdr:cNvPr id="9" name="Chart 9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542925</xdr:colOff>
      <xdr:row>18</xdr:row>
      <xdr:rowOff>19050</xdr:rowOff>
    </xdr:from>
    <xdr:ext cx="5715000" cy="3533775"/>
    <xdr:graphicFrame>
      <xdr:nvGraphicFramePr>
        <xdr:cNvPr id="11" name="Chart 1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552450</xdr:colOff>
      <xdr:row>0</xdr:row>
      <xdr:rowOff>0</xdr:rowOff>
    </xdr:from>
    <xdr:ext cx="5715000" cy="3533775"/>
    <xdr:graphicFrame>
      <xdr:nvGraphicFramePr>
        <xdr:cNvPr id="13" name="Chart 13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123825</xdr:colOff>
      <xdr:row>18</xdr:row>
      <xdr:rowOff>142875</xdr:rowOff>
    </xdr:from>
    <xdr:ext cx="5715000" cy="3533775"/>
    <xdr:graphicFrame>
      <xdr:nvGraphicFramePr>
        <xdr:cNvPr id="10" name="Chart 10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104775</xdr:colOff>
      <xdr:row>0</xdr:row>
      <xdr:rowOff>95250</xdr:rowOff>
    </xdr:from>
    <xdr:ext cx="5715000" cy="3533775"/>
    <xdr:graphicFrame>
      <xdr:nvGraphicFramePr>
        <xdr:cNvPr id="12" name="Chart 12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276225</xdr:colOff>
      <xdr:row>18</xdr:row>
      <xdr:rowOff>123825</xdr:rowOff>
    </xdr:from>
    <xdr:ext cx="5715000" cy="3533775"/>
    <xdr:graphicFrame>
      <xdr:nvGraphicFramePr>
        <xdr:cNvPr id="14" name="Chart 14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0</xdr:row>
      <xdr:rowOff>85725</xdr:rowOff>
    </xdr:from>
    <xdr:ext cx="5715000" cy="3533775"/>
    <xdr:graphicFrame>
      <xdr:nvGraphicFramePr>
        <xdr:cNvPr id="15" name="Chart 15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285750</xdr:colOff>
      <xdr:row>0</xdr:row>
      <xdr:rowOff>0</xdr:rowOff>
    </xdr:from>
    <xdr:ext cx="5715000" cy="3533775"/>
    <xdr:graphicFrame>
      <xdr:nvGraphicFramePr>
        <xdr:cNvPr id="16" name="Chart 16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695325</xdr:colOff>
      <xdr:row>18</xdr:row>
      <xdr:rowOff>142875</xdr:rowOff>
    </xdr:from>
    <xdr:ext cx="5715000" cy="3533775"/>
    <xdr:graphicFrame>
      <xdr:nvGraphicFramePr>
        <xdr:cNvPr id="17" name="Chart 17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0</xdr:rowOff>
    </xdr:from>
    <xdr:ext cx="5715000" cy="3533775"/>
    <xdr:graphicFrame>
      <xdr:nvGraphicFramePr>
        <xdr:cNvPr id="18" name="Chart 18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400050</xdr:colOff>
      <xdr:row>18</xdr:row>
      <xdr:rowOff>133350</xdr:rowOff>
    </xdr:from>
    <xdr:ext cx="5715000" cy="3533775"/>
    <xdr:graphicFrame>
      <xdr:nvGraphicFramePr>
        <xdr:cNvPr id="19" name="Chart 19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0</xdr:row>
      <xdr:rowOff>38100</xdr:rowOff>
    </xdr:from>
    <xdr:ext cx="5715000" cy="3533775"/>
    <xdr:graphicFrame>
      <xdr:nvGraphicFramePr>
        <xdr:cNvPr id="20" name="Chart 20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93:E925" sheet="Raw"/>
  </cacheSource>
  <cacheFields>
    <cacheField name="Date" numFmtId="167">
      <sharedItems containsSemiMixedTypes="0" containsDate="1" containsString="0">
        <d v="2009-06-26T00:00:00Z"/>
        <d v="2009-07-23T00:00:00Z"/>
        <d v="2009-07-24T00:00:00Z"/>
        <d v="2009-07-30T00:00:00Z"/>
        <d v="2009-08-20T00:00:00Z"/>
        <d v="2009-08-27T00:00:00Z"/>
        <d v="2009-08-28T00:00:00Z"/>
        <d v="2009-09-04T00:00:00Z"/>
        <d v="2009-09-11T00:00:00Z"/>
        <d v="2009-09-13T00:00:00Z"/>
        <d v="2009-09-24T00:00:00Z"/>
        <d v="2009-09-26T00:00:00Z"/>
        <d v="2009-09-27T00:00:00Z"/>
        <d v="2009-10-01T00:00:00Z"/>
        <d v="2009-10-02T00:00:00Z"/>
        <d v="2009-10-03T00:00:00Z"/>
        <d v="2009-10-04T00:00:00Z"/>
        <d v="2009-10-05T00:00:00Z"/>
        <d v="2009-10-18T00:00:00Z"/>
        <d v="2009-10-30T00:00:00Z"/>
        <d v="2009-10-31T00:00:00Z"/>
        <d v="2009-11-06T00:00:00Z"/>
        <d v="2009-11-07T00:00:00Z"/>
        <d v="2009-11-08T00:00:00Z"/>
        <d v="2009-11-12T00:00:00Z"/>
        <d v="2009-11-13T00:00:00Z"/>
        <d v="2009-11-14T00:00:00Z"/>
        <d v="2009-11-15T00:00:00Z"/>
        <d v="2009-11-19T00:00:00Z"/>
        <d v="2009-11-20T00:00:00Z"/>
        <d v="2009-11-21T00:00:00Z"/>
        <d v="2009-11-22T00:00:00Z"/>
        <d v="2009-11-26T00:00:00Z"/>
        <d v="2009-11-27T00:00:00Z"/>
        <d v="2009-11-28T00:00:00Z"/>
        <d v="2009-11-29T00:00:00Z"/>
        <d v="2009-12-04T00:00:00Z"/>
        <d v="2009-12-05T00:00:00Z"/>
        <d v="2009-12-06T00:00:00Z"/>
        <d v="2009-12-10T00:00:00Z"/>
        <d v="2009-12-11T00:00:00Z"/>
        <d v="2009-12-12T00:00:00Z"/>
        <d v="2009-12-13T00:00:00Z"/>
        <d v="2009-12-14T00:00:00Z"/>
        <d v="2009-12-17T00:00:00Z"/>
        <d v="2009-12-18T00:00:00Z"/>
        <d v="2009-12-19T00:00:00Z"/>
        <d v="2009-12-20T00:00:00Z"/>
        <d v="2009-12-24T00:00:00Z"/>
        <d v="2009-12-25T00:00:00Z"/>
        <d v="2009-12-26T00:00:00Z"/>
        <d v="2009-12-27T00:00:00Z"/>
        <d v="2009-12-31T00:00:00Z"/>
        <d v="2010-01-02T00:00:00Z"/>
        <d v="2010-01-03T00:00:00Z"/>
        <d v="2010-01-07T00:00:00Z"/>
        <d v="2010-01-08T00:00:00Z"/>
        <d v="2010-01-09T00:00:00Z"/>
        <d v="2010-01-10T00:00:00Z"/>
        <d v="2010-01-14T00:00:00Z"/>
        <d v="2010-01-15T00:00:00Z"/>
        <d v="2010-01-16T00:00:00Z"/>
        <d v="2010-01-17T00:00:00Z"/>
        <d v="2010-01-21T00:00:00Z"/>
        <d v="2010-01-22T00:00:00Z"/>
        <d v="2010-01-23T00:00:00Z"/>
        <d v="2010-01-24T00:00:00Z"/>
        <d v="2010-01-28T00:00:00Z"/>
        <d v="2010-01-29T00:00:00Z"/>
        <d v="2010-01-30T00:00:00Z"/>
        <d v="2010-01-31T00:00:00Z"/>
        <d v="2010-02-01T00:00:00Z"/>
        <d v="2010-02-05T00:00:00Z"/>
        <d v="2010-02-06T00:00:00Z"/>
        <d v="2010-02-07T00:00:00Z"/>
        <d v="2010-02-08T00:00:00Z"/>
        <d v="2010-02-11T00:00:00Z"/>
        <d v="2010-02-12T00:00:00Z"/>
        <d v="2010-02-13T00:00:00Z"/>
        <d v="2010-02-14T00:00:00Z"/>
        <d v="2010-02-15T00:00:00Z"/>
        <d v="2010-02-19T00:00:00Z"/>
        <d v="2010-02-20T00:00:00Z"/>
        <d v="2010-02-21T00:00:00Z"/>
        <d v="2010-02-28T00:00:00Z"/>
        <d v="2010-03-01T00:00:00Z"/>
        <d v="2010-03-06T00:00:00Z"/>
        <d v="2010-03-07T00:00:00Z"/>
        <d v="2010-03-08T00:00:00Z"/>
        <d v="2010-03-12T00:00:00Z"/>
        <d v="2010-03-13T00:00:00Z"/>
        <d v="2010-03-14T00:00:00Z"/>
        <d v="2010-03-19T00:00:00Z"/>
        <d v="2010-03-20T00:00:00Z"/>
        <d v="2010-03-21T00:00:00Z"/>
        <d v="2010-03-22T00:00:00Z"/>
        <d v="2010-03-25T00:00:00Z"/>
        <d v="2010-03-26T00:00:00Z"/>
        <d v="2010-03-27T00:00:00Z"/>
        <d v="2010-03-28T00:00:00Z"/>
        <d v="2010-04-02T00:00:00Z"/>
        <d v="2010-04-03T00:00:00Z"/>
        <d v="2010-04-04T00:00:00Z"/>
        <d v="2010-04-05T00:00:00Z"/>
        <d v="2010-04-09T00:00:00Z"/>
        <d v="2010-04-10T00:00:00Z"/>
        <d v="2010-04-11T00:00:00Z"/>
        <d v="2010-04-17T00:00:00Z"/>
        <d v="2010-04-18T00:00:00Z"/>
        <d v="2010-04-24T00:00:00Z"/>
        <d v="2010-04-25T00:00:00Z"/>
        <d v="2010-04-26T00:00:00Z"/>
        <d v="2010-04-30T00:00:00Z"/>
        <d v="2010-05-01T00:00:00Z"/>
        <d v="2010-05-02T00:00:00Z"/>
        <d v="2010-05-03T00:00:00Z"/>
        <d v="2010-05-07T00:00:00Z"/>
        <d v="2010-05-08T00:00:00Z"/>
        <d v="2010-05-09T00:00:00Z"/>
        <d v="2010-05-10T00:00:00Z"/>
        <d v="2010-05-14T00:00:00Z"/>
        <d v="2010-05-15T00:00:00Z"/>
        <d v="2010-05-16T00:00:00Z"/>
        <d v="2010-05-17T00:00:00Z"/>
        <d v="2010-05-22T00:00:00Z"/>
        <d v="2010-05-23T00:00:00Z"/>
        <d v="2010-05-28T00:00:00Z"/>
        <d v="2010-05-29T00:00:00Z"/>
        <d v="2010-05-30T00:00:00Z"/>
        <d v="2010-05-31T00:00:00Z"/>
        <d v="2010-06-05T00:00:00Z"/>
        <d v="2010-06-06T00:00:00Z"/>
        <d v="2010-06-07T00:00:00Z"/>
        <d v="2010-06-12T00:00:00Z"/>
        <d v="2010-06-13T00:00:00Z"/>
        <d v="2010-06-14T00:00:00Z"/>
        <d v="2010-06-18T00:00:00Z"/>
        <d v="2010-06-19T00:00:00Z"/>
        <d v="2010-06-20T00:00:00Z"/>
        <d v="2010-06-25T00:00:00Z"/>
        <d v="2010-06-26T00:00:00Z"/>
        <d v="2010-06-27T00:00:00Z"/>
        <d v="2010-06-28T00:00:00Z"/>
        <d v="2010-07-03T00:00:00Z"/>
        <d v="2010-07-04T00:00:00Z"/>
        <d v="2010-07-09T00:00:00Z"/>
        <d v="2010-07-10T00:00:00Z"/>
        <d v="2010-07-11T00:00:00Z"/>
        <d v="2010-07-17T00:00:00Z"/>
        <d v="2010-07-18T00:00:00Z"/>
        <d v="2010-07-19T00:00:00Z"/>
        <d v="2010-07-25T00:00:00Z"/>
        <d v="2010-07-26T00:00:00Z"/>
        <d v="2010-07-31T00:00:00Z"/>
        <d v="2010-08-01T00:00:00Z"/>
        <d v="2010-08-02T00:00:00Z"/>
        <d v="2010-08-07T00:00:00Z"/>
        <d v="2010-08-08T00:00:00Z"/>
        <d v="2010-08-15T00:00:00Z"/>
        <d v="2010-08-16T00:00:00Z"/>
        <d v="2010-08-22T00:00:00Z"/>
        <d v="2010-08-23T00:00:00Z"/>
        <d v="2010-08-29T00:00:00Z"/>
        <d v="2010-08-30T00:00:00Z"/>
        <d v="2010-09-04T00:00:00Z"/>
        <d v="2010-09-05T00:00:00Z"/>
        <d v="2010-09-06T00:00:00Z"/>
        <d v="2010-09-12T00:00:00Z"/>
        <d v="2010-09-13T00:00:00Z"/>
        <d v="2010-09-19T00:00:00Z"/>
        <d v="2010-09-20T00:00:00Z"/>
        <d v="2010-09-26T00:00:00Z"/>
        <d v="2010-09-27T00:00:00Z"/>
        <d v="2010-10-02T00:00:00Z"/>
        <d v="2010-10-03T00:00:00Z"/>
        <d v="2010-10-04T00:00:00Z"/>
        <d v="2010-10-10T00:00:00Z"/>
        <d v="2010-10-11T00:00:00Z"/>
        <d v="2010-10-16T00:00:00Z"/>
        <d v="2010-10-17T00:00:00Z"/>
        <d v="2010-10-18T00:00:00Z"/>
        <d v="2010-10-24T00:00:00Z"/>
        <d v="2010-10-25T00:00:00Z"/>
        <d v="2010-10-31T00:00:00Z"/>
        <d v="2010-11-06T00:00:00Z"/>
        <d v="2010-11-07T00:00:00Z"/>
        <d v="2010-11-08T00:00:00Z"/>
        <d v="2010-11-13T00:00:00Z"/>
        <d v="2010-11-14T00:00:00Z"/>
        <d v="2010-11-20T00:00:00Z"/>
        <d v="2010-11-21T00:00:00Z"/>
        <d v="2010-11-22T00:00:00Z"/>
        <d v="2010-11-28T00:00:00Z"/>
        <d v="2010-11-29T00:00:00Z"/>
        <d v="2010-12-05T00:00:00Z"/>
        <d v="2010-12-06T00:00:00Z"/>
        <d v="2010-12-11T00:00:00Z"/>
        <d v="2010-12-12T00:00:00Z"/>
        <d v="2010-12-18T00:00:00Z"/>
        <d v="2010-12-19T00:00:00Z"/>
        <d v="2010-12-20T00:00:00Z"/>
        <d v="2010-12-25T00:00:00Z"/>
        <d v="2010-12-26T00:00:00Z"/>
        <d v="2010-12-27T00:00:00Z"/>
        <d v="2011-01-01T00:00:00Z"/>
        <d v="2011-01-02T00:00:00Z"/>
        <d v="2011-01-09T00:00:00Z"/>
        <d v="2011-01-10T00:00:00Z"/>
        <d v="2011-01-16T00:00:00Z"/>
        <d v="2011-01-17T00:00:00Z"/>
        <d v="2011-01-23T00:00:00Z"/>
        <d v="2011-01-30T00:00:00Z"/>
        <d v="2011-01-31T00:00:00Z"/>
        <d v="2011-02-06T00:00:00Z"/>
        <d v="2011-02-07T00:00:00Z"/>
        <d v="2011-02-13T00:00:00Z"/>
        <d v="2011-02-14T00:00:00Z"/>
        <d v="2011-02-20T00:00:00Z"/>
        <d v="2011-02-27T00:00:00Z"/>
        <d v="2011-02-28T00:00:00Z"/>
        <d v="2011-03-06T00:00:00Z"/>
        <d v="2011-03-07T00:00:00Z"/>
        <d v="2011-03-13T00:00:00Z"/>
        <d v="2011-03-14T00:00:00Z"/>
        <d v="2011-03-20T00:00:00Z"/>
        <d v="2011-03-21T00:00:00Z"/>
        <d v="2011-03-27T00:00:00Z"/>
        <d v="2011-03-28T00:00:00Z"/>
        <d v="2011-04-03T00:00:00Z"/>
        <d v="2011-04-04T00:00:00Z"/>
        <d v="2011-04-10T00:00:00Z"/>
        <d v="2011-04-11T00:00:00Z"/>
        <d v="2011-04-17T00:00:00Z"/>
        <d v="2011-04-18T00:00:00Z"/>
        <d v="2011-04-24T00:00:00Z"/>
        <d v="2011-04-25T00:00:00Z"/>
        <d v="2011-05-01T00:00:00Z"/>
        <d v="2011-05-02T00:00:00Z"/>
        <d v="2011-05-08T00:00:00Z"/>
        <d v="2011-05-09T00:00:00Z"/>
        <d v="2011-05-15T00:00:00Z"/>
        <d v="2011-05-16T00:00:00Z"/>
        <d v="2011-05-22T00:00:00Z"/>
        <d v="2011-05-23T00:00:00Z"/>
        <d v="2011-05-29T00:00:00Z"/>
        <d v="2011-05-30T00:00:00Z"/>
        <d v="2011-06-05T00:00:00Z"/>
        <d v="2011-06-06T00:00:00Z"/>
        <d v="2011-06-12T00:00:00Z"/>
        <d v="2011-06-13T00:00:00Z"/>
        <d v="2011-06-19T00:00:00Z"/>
        <d v="2011-06-20T00:00:00Z"/>
        <d v="2011-06-26T00:00:00Z"/>
        <d v="2011-07-02T00:00:00Z"/>
        <d v="2011-07-03T00:00:00Z"/>
        <d v="2011-07-10T00:00:00Z"/>
        <d v="2011-07-11T00:00:00Z"/>
        <d v="2011-07-17T00:00:00Z"/>
        <d v="2011-07-18T00:00:00Z"/>
        <d v="2011-07-24T00:00:00Z"/>
        <d v="2011-07-25T00:00:00Z"/>
        <d v="2011-07-31T00:00:00Z"/>
        <d v="2011-08-01T00:00:00Z"/>
        <d v="2011-08-07T00:00:00Z"/>
        <d v="2011-08-08T00:00:00Z"/>
        <d v="2011-08-14T00:00:00Z"/>
        <d v="2011-08-15T00:00:00Z"/>
        <d v="2011-08-21T00:00:00Z"/>
        <d v="2011-08-22T00:00:00Z"/>
        <d v="2011-08-28T00:00:00Z"/>
        <d v="2011-08-29T00:00:00Z"/>
        <d v="2011-09-04T00:00:00Z"/>
        <d v="2011-09-05T00:00:00Z"/>
        <d v="2011-09-11T00:00:00Z"/>
        <d v="2011-09-12T00:00:00Z"/>
        <d v="2011-09-18T00:00:00Z"/>
        <d v="2011-09-19T00:00:00Z"/>
        <d v="2011-09-25T00:00:00Z"/>
        <d v="2011-09-26T00:00:00Z"/>
        <d v="2011-10-02T00:00:00Z"/>
        <d v="2011-10-03T00:00:00Z"/>
        <d v="2011-10-09T00:00:00Z"/>
        <d v="2011-10-10T00:00:00Z"/>
        <d v="2011-10-16T00:00:00Z"/>
        <d v="2011-10-17T00:00:00Z"/>
        <d v="2011-10-23T00:00:00Z"/>
        <d v="2011-10-24T00:00:00Z"/>
        <d v="2011-10-30T00:00:00Z"/>
        <d v="2011-10-31T00:00:00Z"/>
        <d v="2011-11-06T00:00:00Z"/>
        <d v="2011-11-07T00:00:00Z"/>
        <d v="2011-11-13T00:00:00Z"/>
        <d v="2011-11-14T00:00:00Z"/>
        <d v="2011-11-20T00:00:00Z"/>
        <d v="2011-11-21T00:00:00Z"/>
        <d v="2011-11-27T00:00:00Z"/>
        <d v="2011-11-28T00:00:00Z"/>
        <d v="2011-12-04T00:00:00Z"/>
        <d v="2011-12-05T00:00:00Z"/>
        <d v="2011-12-11T00:00:00Z"/>
        <d v="2011-12-12T00:00:00Z"/>
        <d v="2011-12-18T00:00:00Z"/>
        <d v="2011-12-19T00:00:00Z"/>
        <d v="2011-12-25T00:00:00Z"/>
        <d v="2011-12-26T00:00:00Z"/>
        <d v="2012-01-01T00:00:00Z"/>
        <d v="2012-01-02T00:00:00Z"/>
        <d v="2012-01-08T00:00:00Z"/>
        <d v="2012-01-09T00:00:00Z"/>
        <d v="2012-01-15T00:00:00Z"/>
        <d v="2012-01-16T00:00:00Z"/>
        <d v="2012-01-22T00:00:00Z"/>
        <d v="2012-01-29T00:00:00Z"/>
        <d v="2012-01-30T00:00:00Z"/>
        <d v="2012-02-05T00:00:00Z"/>
        <d v="2012-02-06T00:00:00Z"/>
        <d v="2012-02-12T00:00:00Z"/>
        <d v="2012-02-13T00:00:00Z"/>
        <d v="2012-02-19T00:00:00Z"/>
        <d v="2012-02-20T00:00:00Z"/>
        <d v="2012-02-26T00:00:00Z"/>
        <d v="2012-02-27T00:00:00Z"/>
        <d v="2012-03-04T00:00:00Z"/>
        <d v="2012-03-05T00:00:00Z"/>
        <d v="2012-03-11T00:00:00Z"/>
        <d v="2012-03-12T00:00:00Z"/>
        <d v="2012-03-18T00:00:00Z"/>
        <d v="2012-03-19T00:00:00Z"/>
        <d v="2012-03-25T00:00:00Z"/>
        <d v="2012-03-26T00:00:00Z"/>
        <d v="2012-04-01T00:00:00Z"/>
        <d v="2012-04-02T00:00:00Z"/>
        <d v="2012-04-08T00:00:00Z"/>
        <d v="2012-04-09T00:00:00Z"/>
        <d v="2012-04-15T00:00:00Z"/>
        <d v="2012-04-16T00:00:00Z"/>
        <d v="2012-04-22T00:00:00Z"/>
        <d v="2012-04-23T00:00:00Z"/>
        <d v="2012-04-29T00:00:00Z"/>
        <d v="2012-04-30T00:00:00Z"/>
        <d v="2012-05-06T00:00:00Z"/>
        <d v="2012-05-07T00:00:00Z"/>
        <d v="2012-05-13T00:00:00Z"/>
        <d v="2012-05-14T00:00:00Z"/>
        <d v="2012-05-20T00:00:00Z"/>
        <d v="2012-05-21T00:00:00Z"/>
        <d v="2012-05-27T00:00:00Z"/>
        <d v="2012-05-28T00:00:00Z"/>
        <d v="2012-06-03T00:00:00Z"/>
        <d v="2012-06-04T00:00:00Z"/>
        <d v="2012-06-10T00:00:00Z"/>
        <d v="2012-06-11T00:00:00Z"/>
        <d v="2012-06-17T00:00:00Z"/>
        <d v="2012-06-18T00:00:00Z"/>
        <d v="2012-06-24T00:00:00Z"/>
        <d v="2012-06-25T00:00:00Z"/>
        <d v="2012-07-01T00:00:00Z"/>
        <d v="2012-07-02T00:00:00Z"/>
        <d v="2012-07-08T00:00:00Z"/>
        <d v="2012-07-09T00:00:00Z"/>
        <d v="2012-07-15T00:00:00Z"/>
        <d v="2012-07-16T00:00:00Z"/>
        <d v="2012-07-22T00:00:00Z"/>
        <d v="2012-07-23T00:00:00Z"/>
        <d v="2012-07-29T00:00:00Z"/>
        <d v="2012-07-30T00:00:00Z"/>
        <d v="2012-08-05T00:00:00Z"/>
        <d v="2012-08-06T00:00:00Z"/>
        <d v="2012-08-12T00:00:00Z"/>
        <d v="2012-08-13T00:00:00Z"/>
        <d v="2012-08-19T00:00:00Z"/>
        <d v="2012-08-20T00:00:00Z"/>
        <d v="2012-08-26T00:00:00Z"/>
        <d v="2012-08-27T00:00:00Z"/>
        <d v="2012-09-02T00:00:00Z"/>
        <d v="2012-09-03T00:00:00Z"/>
        <d v="2012-09-09T00:00:00Z"/>
        <d v="2012-09-10T00:00:00Z"/>
        <d v="2012-09-16T00:00:00Z"/>
        <d v="2012-09-17T00:00:00Z"/>
        <d v="2012-09-23T00:00:00Z"/>
        <d v="2012-09-24T00:00:00Z"/>
        <d v="2012-09-30T00:00:00Z"/>
        <d v="2012-10-01T00:00:00Z"/>
        <d v="2012-10-07T00:00:00Z"/>
        <d v="2012-10-08T00:00:00Z"/>
        <d v="2012-10-14T00:00:00Z"/>
        <d v="2012-10-15T00:00:00Z"/>
        <d v="2012-10-21T00:00:00Z"/>
        <d v="2012-10-22T00:00:00Z"/>
        <d v="2012-10-28T00:00:00Z"/>
        <d v="2012-10-29T00:00:00Z"/>
        <d v="2012-11-04T00:00:00Z"/>
        <d v="2012-11-05T00:00:00Z"/>
        <d v="2012-11-11T00:00:00Z"/>
        <d v="2012-11-12T00:00:00Z"/>
        <d v="2012-11-18T00:00:00Z"/>
        <d v="2012-11-19T00:00:00Z"/>
        <d v="2012-11-25T00:00:00Z"/>
        <d v="2012-11-26T00:00:00Z"/>
        <d v="2012-12-02T00:00:00Z"/>
        <d v="2012-12-03T00:00:00Z"/>
        <d v="2012-12-09T00:00:00Z"/>
        <d v="2012-12-10T00:00:00Z"/>
        <d v="2012-12-16T00:00:00Z"/>
        <d v="2012-12-17T00:00:00Z"/>
        <d v="2012-12-23T00:00:00Z"/>
        <d v="2012-12-24T00:00:00Z"/>
        <d v="2012-12-30T00:00:00Z"/>
        <d v="2012-12-31T00:00:00Z"/>
        <d v="2013-01-06T00:00:00Z"/>
        <d v="2013-01-07T00:00:00Z"/>
        <d v="2013-01-13T00:00:00Z"/>
        <d v="2013-01-14T00:00:00Z"/>
        <d v="2013-01-20T00:00:00Z"/>
        <d v="2013-01-21T00:00:00Z"/>
        <d v="2013-01-27T00:00:00Z"/>
        <d v="2013-01-28T00:00:00Z"/>
        <d v="2013-02-03T00:00:00Z"/>
        <d v="2013-02-04T00:00:00Z"/>
        <d v="2013-02-10T00:00:00Z"/>
        <d v="2013-02-11T00:00:00Z"/>
        <d v="2013-02-17T00:00:00Z"/>
        <d v="2013-02-18T00:00:00Z"/>
        <d v="2013-02-24T00:00:00Z"/>
        <d v="2013-02-25T00:00:00Z"/>
        <d v="2013-03-03T00:00:00Z"/>
        <d v="2013-03-04T00:00:00Z"/>
        <d v="2013-03-10T00:00:00Z"/>
        <d v="2013-03-11T00:00:00Z"/>
        <d v="2013-03-17T00:00:00Z"/>
        <d v="2013-03-18T00:00:00Z"/>
        <d v="2013-03-24T00:00:00Z"/>
        <d v="2013-03-25T00:00:00Z"/>
        <d v="2013-03-31T00:00:00Z"/>
        <d v="2013-04-01T00:00:00Z"/>
        <d v="2013-04-07T00:00:00Z"/>
        <d v="2013-04-08T00:00:00Z"/>
        <d v="2013-04-14T00:00:00Z"/>
        <d v="2013-04-15T00:00:00Z"/>
        <d v="2013-04-21T00:00:00Z"/>
        <d v="2013-04-22T00:00:00Z"/>
        <d v="2013-04-28T00:00:00Z"/>
        <d v="2013-04-29T00:00:00Z"/>
        <d v="2013-05-05T00:00:00Z"/>
        <d v="2013-05-06T00:00:00Z"/>
        <d v="2013-05-12T00:00:00Z"/>
        <d v="2013-05-13T00:00:00Z"/>
        <d v="2013-05-19T00:00:00Z"/>
        <d v="2013-05-20T00:00:00Z"/>
        <d v="2013-05-26T00:00:00Z"/>
        <d v="2013-05-27T00:00:00Z"/>
        <d v="2013-06-02T00:00:00Z"/>
        <d v="2013-06-03T00:00:00Z"/>
        <d v="2013-06-09T00:00:00Z"/>
        <d v="2013-06-10T00:00:00Z"/>
        <d v="2013-06-16T00:00:00Z"/>
        <d v="2013-06-17T00:00:00Z"/>
        <d v="2013-06-23T00:00:00Z"/>
        <d v="2013-06-24T00:00:00Z"/>
        <d v="2013-06-30T00:00:00Z"/>
        <d v="2013-07-01T00:00:00Z"/>
        <d v="2013-07-07T00:00:00Z"/>
        <d v="2013-07-08T00:00:00Z"/>
        <d v="2013-07-14T00:00:00Z"/>
        <d v="2013-07-15T00:00:00Z"/>
        <d v="2013-07-21T00:00:00Z"/>
        <d v="2013-07-22T00:00:00Z"/>
        <d v="2013-07-28T00:00:00Z"/>
        <d v="2013-07-29T00:00:00Z"/>
        <d v="2013-08-04T00:00:00Z"/>
        <d v="2013-08-05T00:00:00Z"/>
        <d v="2013-08-11T00:00:00Z"/>
        <d v="2013-08-12T00:00:00Z"/>
        <d v="2013-08-18T00:00:00Z"/>
        <d v="2013-08-19T00:00:00Z"/>
        <d v="2013-08-25T00:00:00Z"/>
        <d v="2013-08-26T00:00:00Z"/>
        <d v="2013-09-01T00:00:00Z"/>
        <d v="2013-09-02T00:00:00Z"/>
        <d v="2013-09-08T00:00:00Z"/>
        <d v="2013-09-09T00:00:00Z"/>
        <d v="2013-09-15T00:00:00Z"/>
        <d v="2013-09-16T00:00:00Z"/>
        <d v="2013-09-22T00:00:00Z"/>
        <d v="2013-09-23T00:00:00Z"/>
        <d v="2013-09-29T00:00:00Z"/>
        <d v="2013-09-30T00:00:00Z"/>
        <d v="2013-10-06T00:00:00Z"/>
        <d v="2013-10-07T00:00:00Z"/>
        <d v="2013-10-13T00:00:00Z"/>
        <d v="2013-10-14T00:00:00Z"/>
        <d v="2013-10-20T00:00:00Z"/>
        <d v="2013-10-21T00:00:00Z"/>
        <d v="2013-10-27T00:00:00Z"/>
        <d v="2013-10-28T00:00:00Z"/>
        <d v="2013-11-03T00:00:00Z"/>
        <d v="2013-11-04T00:00:00Z"/>
        <d v="2013-11-10T00:00:00Z"/>
        <d v="2013-11-11T00:00:00Z"/>
        <d v="2013-11-17T00:00:00Z"/>
        <d v="2013-11-18T00:00:00Z"/>
        <d v="2013-11-24T00:00:00Z"/>
        <d v="2013-11-25T00:00:00Z"/>
        <d v="2013-12-01T00:00:00Z"/>
        <d v="2013-12-02T00:00:00Z"/>
        <d v="2013-12-08T00:00:00Z"/>
        <d v="2013-12-09T00:00:00Z"/>
        <d v="2013-12-15T00:00:00Z"/>
        <d v="2013-12-16T00:00:00Z"/>
        <d v="2013-12-22T00:00:00Z"/>
        <d v="2013-12-23T00:00:00Z"/>
        <d v="2013-12-29T00:00:00Z"/>
        <d v="2013-12-30T00:00:00Z"/>
        <d v="2014-01-05T00:00:00Z"/>
        <d v="2014-01-12T00:00:00Z"/>
        <d v="2014-01-13T00:00:00Z"/>
        <d v="2014-01-19T00:00:00Z"/>
        <d v="2014-01-20T00:00:00Z"/>
        <d v="2014-01-26T00:00:00Z"/>
        <d v="2014-01-27T00:00:00Z"/>
        <d v="2014-02-02T00:00:00Z"/>
        <d v="2014-02-03T00:00:00Z"/>
        <d v="2014-02-09T00:00:00Z"/>
        <d v="2014-02-10T00:00:00Z"/>
        <d v="2014-02-16T00:00:00Z"/>
        <d v="2014-02-17T00:00:00Z"/>
        <d v="2014-02-23T00:00:00Z"/>
        <d v="2014-02-24T00:00:00Z"/>
        <d v="2014-03-02T00:00:00Z"/>
        <d v="2014-03-03T00:00:00Z"/>
        <d v="2014-03-09T00:00:00Z"/>
        <d v="2014-03-10T00:00:00Z"/>
        <d v="2014-03-16T00:00:00Z"/>
        <d v="2014-03-17T00:00:00Z"/>
        <d v="2014-03-23T00:00:00Z"/>
        <d v="2014-03-24T00:00:00Z"/>
        <d v="2014-03-30T00:00:00Z"/>
        <d v="2014-03-31T00:00:00Z"/>
        <d v="2014-04-06T00:00:00Z"/>
        <d v="2014-04-07T00:00:00Z"/>
        <d v="2014-04-13T00:00:00Z"/>
        <d v="2014-04-14T00:00:00Z"/>
        <d v="2014-04-20T00:00:00Z"/>
        <d v="2014-04-21T00:00:00Z"/>
        <d v="2014-04-27T00:00:00Z"/>
        <d v="2014-04-28T00:00:00Z"/>
        <d v="2014-05-04T00:00:00Z"/>
        <d v="2014-05-05T00:00:00Z"/>
        <d v="2014-05-11T00:00:00Z"/>
        <d v="2014-05-12T00:00:00Z"/>
        <d v="2014-05-18T00:00:00Z"/>
        <d v="2014-05-19T00:00:00Z"/>
        <d v="2014-05-25T00:00:00Z"/>
        <d v="2014-05-26T00:00:00Z"/>
        <d v="2014-06-01T00:00:00Z"/>
        <d v="2014-06-02T00:00:00Z"/>
        <d v="2014-06-08T00:00:00Z"/>
        <d v="2014-06-09T00:00:00Z"/>
        <d v="2014-06-15T00:00:00Z"/>
        <d v="2014-06-16T00:00:00Z"/>
        <d v="2014-06-22T00:00:00Z"/>
        <d v="2014-06-23T00:00:00Z"/>
        <d v="2014-06-29T00:00:00Z"/>
        <d v="2014-06-30T00:00:00Z"/>
        <d v="2014-07-06T00:00:00Z"/>
        <d v="2014-07-07T00:00:00Z"/>
        <d v="2014-07-13T00:00:00Z"/>
        <d v="2014-07-14T00:00:00Z"/>
        <d v="2014-07-20T00:00:00Z"/>
        <d v="2014-07-21T00:00:00Z"/>
        <d v="2014-07-27T00:00:00Z"/>
        <d v="2014-07-28T00:00:00Z"/>
        <d v="2014-08-03T00:00:00Z"/>
        <d v="2014-08-04T00:00:00Z"/>
        <d v="2014-08-10T00:00:00Z"/>
        <d v="2014-08-11T00:00:00Z"/>
        <d v="2014-08-17T00:00:00Z"/>
        <d v="2014-08-18T00:00:00Z"/>
        <d v="2014-08-24T00:00:00Z"/>
        <d v="2014-08-25T00:00:00Z"/>
        <d v="2014-08-31T00:00:00Z"/>
        <d v="2014-09-01T00:00:00Z"/>
        <d v="2014-09-07T00:00:00Z"/>
        <d v="2014-09-08T00:00:00Z"/>
        <d v="2014-09-14T00:00:00Z"/>
        <d v="2014-09-15T00:00:00Z"/>
        <d v="2014-09-21T00:00:00Z"/>
        <d v="2014-09-22T00:00:00Z"/>
        <d v="2014-09-28T00:00:00Z"/>
        <d v="2014-09-29T00:00:00Z"/>
        <d v="2014-10-05T00:00:00Z"/>
        <d v="2014-10-06T00:00:00Z"/>
        <d v="2014-10-12T00:00:00Z"/>
        <d v="2014-10-13T00:00:00Z"/>
        <d v="2014-10-19T00:00:00Z"/>
        <d v="2014-10-20T00:00:00Z"/>
        <d v="2014-10-26T00:00:00Z"/>
        <d v="2014-10-27T00:00:00Z"/>
        <d v="2014-11-03T00:00:00Z"/>
        <d v="2014-11-09T00:00:00Z"/>
        <d v="2014-11-10T00:00:00Z"/>
        <d v="2014-11-16T00:00:00Z"/>
        <d v="2014-11-17T00:00:00Z"/>
        <d v="2014-11-23T00:00:00Z"/>
        <d v="2014-11-24T00:00:00Z"/>
        <d v="2014-11-30T00:00:00Z"/>
        <d v="2014-12-01T00:00:00Z"/>
        <d v="2014-12-07T00:00:00Z"/>
        <d v="2014-12-08T00:00:00Z"/>
        <d v="2014-12-14T00:00:00Z"/>
        <d v="2014-12-15T00:00:00Z"/>
        <d v="2014-12-21T00:00:00Z"/>
        <d v="2014-12-22T00:00:00Z"/>
        <d v="2014-12-28T00:00:00Z"/>
        <d v="2014-12-29T00:00:00Z"/>
        <d v="2015-01-04T00:00:00Z"/>
        <d v="2015-01-05T00:00:00Z"/>
        <d v="2015-01-11T00:00:00Z"/>
        <d v="2015-01-12T00:00:00Z"/>
        <d v="2015-01-18T00:00:00Z"/>
        <d v="2015-01-19T00:00:00Z"/>
        <d v="2015-01-25T00:00:00Z"/>
        <d v="2015-01-26T00:00:00Z"/>
        <d v="2015-02-01T00:00:00Z"/>
        <d v="2015-02-02T00:00:00Z"/>
        <d v="2015-02-08T00:00:00Z"/>
        <d v="2015-02-09T00:00:00Z"/>
        <d v="2015-02-15T00:00:00Z"/>
        <d v="2015-02-16T00:00:00Z"/>
        <d v="2015-02-22T00:00:00Z"/>
        <d v="2015-02-23T00:00:00Z"/>
        <d v="2015-03-01T00:00:00Z"/>
        <d v="2015-03-02T00:00:00Z"/>
        <d v="2015-03-08T00:00:00Z"/>
        <d v="2015-03-09T00:00:00Z"/>
        <d v="2015-03-15T00:00:00Z"/>
        <d v="2015-03-16T00:00:00Z"/>
        <d v="2015-03-22T00:00:00Z"/>
        <d v="2015-03-23T00:00:00Z"/>
        <d v="2015-03-29T00:00:00Z"/>
        <d v="2015-03-30T00:00:00Z"/>
        <d v="2015-04-05T00:00:00Z"/>
        <d v="2015-04-06T00:00:00Z"/>
        <d v="2015-04-12T00:00:00Z"/>
        <d v="2015-04-13T00:00:00Z"/>
        <d v="2015-04-19T00:00:00Z"/>
        <d v="2015-04-20T00:00:00Z"/>
        <d v="2015-04-26T00:00:00Z"/>
        <d v="2015-04-27T00:00:00Z"/>
        <d v="2015-05-03T00:00:00Z"/>
        <d v="2015-05-04T00:00:00Z"/>
        <d v="2015-05-11T00:00:00Z"/>
        <d v="2015-05-18T00:00:00Z"/>
        <d v="2015-05-24T00:00:00Z"/>
        <d v="2015-05-25T00:00:00Z"/>
        <d v="2015-06-01T00:00:00Z"/>
        <d v="2015-06-08T00:00:00Z"/>
        <d v="2015-06-15T00:00:00Z"/>
        <d v="2015-06-22T00:00:00Z"/>
        <d v="2015-06-29T00:00:00Z"/>
        <d v="2015-07-06T00:00:00Z"/>
        <d v="2015-07-13T00:00:00Z"/>
        <d v="2015-07-20T00:00:00Z"/>
        <d v="2015-07-26T00:00:00Z"/>
        <d v="2015-07-27T00:00:00Z"/>
        <d v="2015-08-03T00:00:00Z"/>
        <d v="2015-08-10T00:00:00Z"/>
        <d v="2015-08-17T00:00:00Z"/>
        <d v="2015-08-24T00:00:00Z"/>
        <d v="2015-08-31T00:00:00Z"/>
        <d v="2015-09-07T00:00:00Z"/>
        <d v="2015-09-14T00:00:00Z"/>
        <d v="2015-09-20T00:00:00Z"/>
        <d v="2015-09-21T00:00:00Z"/>
        <d v="2015-09-28T00:00:00Z"/>
        <d v="2015-10-05T00:00:00Z"/>
        <d v="2015-10-12T00:00:00Z"/>
        <d v="2015-10-19T00:00:00Z"/>
        <d v="2015-10-25T00:00:00Z"/>
        <d v="2015-10-26T00:00:00Z"/>
        <d v="2015-11-02T00:00:00Z"/>
        <d v="2015-11-09T00:00:00Z"/>
        <d v="2015-11-15T00:00:00Z"/>
        <d v="2015-11-16T00:00:00Z"/>
        <d v="2015-11-23T00:00:00Z"/>
        <d v="2015-11-30T00:00:00Z"/>
        <d v="2015-12-06T00:00:00Z"/>
        <d v="2015-12-07T00:00:00Z"/>
        <d v="2015-12-13T00:00:00Z"/>
        <d v="2015-12-14T00:00:00Z"/>
        <d v="2015-12-20T00:00:00Z"/>
        <d v="2015-12-21T00:00:00Z"/>
        <d v="2015-12-28T00:00:00Z"/>
        <d v="2016-01-03T00:00:00Z"/>
        <d v="2016-01-04T00:00:00Z"/>
        <d v="2016-01-10T00:00:00Z"/>
        <d v="2016-01-11T00:00:00Z"/>
        <d v="2016-01-17T00:00:00Z"/>
        <d v="2016-01-18T00:00:00Z"/>
        <d v="2016-01-24T00:00:00Z"/>
        <d v="2016-01-25T00:00:00Z"/>
        <d v="2016-01-31T00:00:00Z"/>
        <d v="2016-02-01T00:00:00Z"/>
        <d v="2016-02-07T00:00:00Z"/>
        <d v="2016-02-08T00:00:00Z"/>
        <d v="2016-02-14T00:00:00Z"/>
        <d v="2016-02-15T00:00:00Z"/>
        <d v="2016-02-21T00:00:00Z"/>
        <d v="2016-02-22T00:00:00Z"/>
        <d v="2016-02-28T00:00:00Z"/>
        <d v="2016-02-29T00:00:00Z"/>
        <d v="2016-03-06T00:00:00Z"/>
        <d v="2016-03-07T00:00:00Z"/>
        <d v="2016-03-13T00:00:00Z"/>
        <d v="2016-03-14T00:00:00Z"/>
        <d v="2016-03-20T00:00:00Z"/>
        <d v="2016-03-21T00:00:00Z"/>
        <d v="2016-03-27T00:00:00Z"/>
        <d v="2016-03-28T00:00:00Z"/>
        <d v="2016-04-03T00:00:00Z"/>
        <d v="2016-04-04T00:00:00Z"/>
        <d v="2016-04-10T00:00:00Z"/>
        <d v="2016-04-11T00:00:00Z"/>
        <d v="2016-04-17T00:00:00Z"/>
        <d v="2016-04-18T00:00:00Z"/>
        <d v="2016-04-24T00:00:00Z"/>
        <d v="2016-04-25T00:00:00Z"/>
        <d v="2016-05-01T00:00:00Z"/>
        <d v="2016-05-02T00:00:00Z"/>
        <d v="2016-05-08T00:00:00Z"/>
        <d v="2016-05-09T00:00:00Z"/>
        <d v="2016-05-15T00:00:00Z"/>
        <d v="2016-05-16T00:00:00Z"/>
        <d v="2016-05-22T00:00:00Z"/>
        <d v="2016-05-23T00:00:00Z"/>
        <d v="2016-05-29T00:00:00Z"/>
        <d v="2016-05-30T00:00:00Z"/>
        <d v="2016-06-05T00:00:00Z"/>
        <d v="2016-06-06T00:00:00Z"/>
        <d v="2016-06-12T00:00:00Z"/>
        <d v="2016-06-13T00:00:00Z"/>
        <d v="2016-06-19T00:00:00Z"/>
        <d v="2016-06-20T00:00:00Z"/>
        <d v="2016-06-27T00:00:00Z"/>
        <d v="2016-07-04T00:00:00Z"/>
        <d v="2016-07-10T00:00:00Z"/>
        <d v="2016-07-11T00:00:00Z"/>
        <d v="2016-07-18T00:00:00Z"/>
        <d v="2016-07-24T00:00:00Z"/>
        <d v="2016-07-25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1T00:00:00Z"/>
        <d v="2016-11-06T00:00:00Z"/>
        <d v="2016-11-07T00:00:00Z"/>
        <d v="2016-11-11T00:00:00Z"/>
        <d v="2016-11-13T00:00:00Z"/>
        <d v="2016-11-14T00:00:00Z"/>
        <d v="2016-11-21T00:00:00Z"/>
        <d v="2016-11-27T00:00:00Z"/>
        <d v="2016-11-28T00:00:00Z"/>
        <d v="2016-12-04T00:00:00Z"/>
        <d v="2016-12-05T00:00:00Z"/>
        <d v="2016-12-11T00:00:00Z"/>
        <d v="2016-12-12T00:00:00Z"/>
        <d v="2016-12-18T00:00:00Z"/>
        <d v="2016-12-19T00:00:00Z"/>
        <d v="2016-12-25T00:00:00Z"/>
        <d v="2016-12-26T00:00:00Z"/>
        <d v="2017-01-01T00:00:00Z"/>
        <d v="2017-01-02T00:00:00Z"/>
        <d v="2017-01-08T00:00:00Z"/>
        <d v="2017-01-09T00:00:00Z"/>
        <d v="2017-01-15T00:00:00Z"/>
        <d v="2017-01-16T00:00:00Z"/>
        <d v="2017-01-22T00:00:00Z"/>
        <d v="2017-01-23T00:00:00Z"/>
        <d v="2017-01-29T00:00:00Z"/>
        <d v="2017-01-30T00:00:00Z"/>
        <d v="2017-02-05T00:00:00Z"/>
        <d v="2017-02-06T00:00:00Z"/>
        <d v="2017-02-12T00:00:00Z"/>
        <d v="2017-02-13T00:00:00Z"/>
        <d v="2017-02-19T00:00:00Z"/>
        <d v="2017-02-20T00:00:00Z"/>
        <d v="2017-02-26T00:00:00Z"/>
        <d v="2017-02-27T00:00:00Z"/>
        <d v="2017-03-05T00:00:00Z"/>
        <d v="2017-03-06T00:00:00Z"/>
        <d v="2017-03-12T00:00:00Z"/>
        <d v="2017-03-13T00:00:00Z"/>
        <d v="2017-03-19T00:00:00Z"/>
        <d v="2017-03-20T00:00:00Z"/>
        <d v="2017-03-27T00:00:00Z"/>
        <d v="2017-04-03T00:00:00Z"/>
        <d v="2017-04-10T00:00:00Z"/>
        <d v="2017-04-17T00:00:00Z"/>
        <d v="2017-04-24T00:00:00Z"/>
        <d v="2017-05-01T00:00:00Z"/>
        <d v="2017-05-08T00:00:00Z"/>
        <d v="2017-05-15T00:00:00Z"/>
        <d v="2017-05-22T00:00:00Z"/>
        <d v="2017-05-29T00:00:00Z"/>
        <d v="2017-06-05T00:00:00Z"/>
        <d v="2017-06-12T00:00:00Z"/>
        <d v="2017-06-19T00:00:00Z"/>
        <d v="2017-06-26T00:00:00Z"/>
        <d v="2017-07-03T00:00:00Z"/>
        <d v="2017-07-10T00:00:00Z"/>
        <d v="2017-07-17T00:00:00Z"/>
        <d v="2017-07-24T00:00:00Z"/>
        <d v="2017-07-31T00:00:00Z"/>
        <d v="2017-08-07T00:00:00Z"/>
        <d v="2017-08-14T00:00:00Z"/>
        <d v="2017-08-21T00:00:00Z"/>
        <d v="2017-08-28T00:00:00Z"/>
        <d v="2017-09-03T00:00:00Z"/>
        <d v="2017-09-04T00:00:00Z"/>
        <d v="2017-09-11T00:00:00Z"/>
        <d v="2017-09-18T00:00:00Z"/>
      </sharedItems>
    </cacheField>
    <cacheField name="Score" numFmtId="166">
      <sharedItems containsSemiMixedTypes="0" containsString="0" containsNumber="1">
        <n v="0.809252602578"/>
        <n v="0.571744905277"/>
        <n v="0.697511495814"/>
        <n v="0.748704184595"/>
        <n v="0.807697778694"/>
        <n v="0.778529301121"/>
        <n v="0.875947375232"/>
        <n v="0.761434424952"/>
        <n v="0.802763838622"/>
        <n v="0.767622109663"/>
        <n v="0.672296806141"/>
        <n v="0.767885052386"/>
        <n v="0.0875769046951"/>
        <n v="0.502324488047"/>
        <n v="0.823380397417"/>
        <n v="0.724683587734"/>
        <n v="0.609599493681"/>
        <n v="0.957651514166"/>
        <n v="0.832447731876"/>
        <n v="0.503273639693"/>
        <n v="0.464135636538"/>
        <n v="0.669844144783"/>
        <n v="0.929175685353"/>
        <n v="0.681158340444"/>
        <n v="0.662317975183"/>
        <n v="0.628405241792"/>
        <n v="0.505145882824"/>
        <n v="0.730533206425"/>
        <n v="0.323976301248"/>
        <n v="0.709497432072"/>
        <n v="0.723588274543"/>
        <n v="0.553330881865"/>
        <n v="0.894555260514"/>
        <n v="0.752612853719"/>
        <n v="0.610783463375"/>
        <n v="0.601395406063"/>
        <n v="0.78442670287"/>
        <n v="0.540212859075"/>
        <n v="0.724983452746"/>
        <n v="0.666771339794"/>
        <n v="0.730084153216"/>
        <n v="0.735702313134"/>
        <n v="0.682455762834"/>
        <n v="0.511712785663"/>
        <n v="0.752270698208"/>
        <n v="0.657597550783"/>
        <n v="0.750736025432"/>
        <n v="0.494850632748"/>
        <n v="0.439917756008"/>
        <n v="0.580075005341"/>
        <n v="0.693728863184"/>
        <n v="0.564800855373"/>
        <n v="0.774628408084"/>
        <n v="0.745247042941"/>
        <n v="0.596036361406"/>
        <n v="0.746023336793"/>
        <n v="0.750790406816"/>
        <n v="0.694294170073"/>
        <n v="0.701517697645"/>
        <n v="0.626577709859"/>
        <n v="0.811427860926"/>
        <n v="0.782204948132"/>
        <n v="0.650122263148"/>
        <n v="0.652037359013"/>
        <n v="0.714997751079"/>
        <n v="0.723098853341"/>
        <n v="0.268661264487"/>
        <n v="0.793941533064"/>
        <n v="0.614850143771"/>
        <n v="0.820887306329"/>
        <n v="0.628191849244"/>
        <n v="0.770196111307"/>
        <n v="0.697138956941"/>
        <n v="0.740960039759"/>
        <n v="0.947241175939"/>
        <n v="0.647307760719"/>
        <n v="0.730802290513"/>
        <n v="0.583072862469"/>
        <n v="0.671648467691"/>
        <n v="0.0692621325797"/>
        <n v="0.668932379169"/>
        <n v="0.777786100903"/>
        <n v="0.585017058553"/>
        <n v="0.685597416048"/>
        <n v="0.739116916165"/>
        <n v="0.564001768464"/>
        <n v="0.75331822112"/>
        <n v="0.683260179487"/>
        <n v="0.840228100252"/>
        <n v="0.684761073209"/>
        <n v="0.745850288741"/>
        <n v="0.768367896367"/>
        <n v="0.705113934296"/>
        <n v="0.606759365178"/>
        <n v="0.395744085076"/>
        <n v="0.745489680729"/>
        <n v="0.735628722058"/>
        <n v="0.727484980113"/>
        <n v="0.759514740156"/>
        <n v="0.728046993822"/>
        <n v="0.74230228176"/>
        <n v="0.676577388743"/>
        <n v="0.780098033912"/>
        <n v="0.704363166879"/>
        <n v="0.687435974183"/>
        <n v="0.576290569555"/>
        <n v="0.712666558038"/>
        <n v="0.725849171353"/>
        <n v="0.75462471121"/>
        <n v="0.665205077506"/>
        <n v="0.874115413594"/>
        <n v="0.613784236674"/>
        <n v="0.636308241131"/>
        <n v="0.847308073194"/>
        <n v="0.589847398941"/>
        <n v="0.701859426871"/>
        <n v="0.512148394453"/>
        <n v="0.768321333474"/>
        <n v="0.614094412291"/>
        <n v="0.54570486027"/>
        <n v="0.69068822632"/>
        <n v="0.492129794123"/>
        <n v="0.751092785578"/>
        <n v="0.694743453128"/>
        <n v="0.747834466971"/>
        <n v="0.729518997825"/>
        <n v="0.639029395932"/>
        <n v="0.784773777954"/>
        <n v="0.796315134141"/>
        <n v="0.731201778748"/>
        <n v="0.532827135082"/>
        <n v="0.721953964873"/>
        <n v="0.845191584201"/>
        <n v="0.674102159978"/>
        <n v="0.669962773308"/>
        <n v="0.698987720819"/>
        <n v="0.739997113243"/>
        <n v="0.361516174306"/>
        <n v="0.806754767641"/>
        <n v="0.676877979572"/>
        <n v="0.484721227767"/>
        <n v="0.624775334597"/>
        <n v="0.68319185011"/>
        <n v="0.738722025997"/>
        <n v="0.660916976512"/>
        <n v="0.671259695266"/>
        <n v="0.595343099951"/>
        <n v="0.588997895075"/>
        <n v="0.655512898776"/>
        <n v="0.721414330388"/>
        <n v="0.68382944929"/>
        <n v="0.610536748886"/>
        <n v="0.727431594829"/>
        <n v="0.461589460909"/>
        <n v="0.756256546129"/>
        <n v="0.649339701525"/>
        <n v="0.601163570802"/>
        <n v="0.70451461929"/>
        <n v="0.698165220519"/>
        <n v="0.65160004821"/>
        <n v="0.600011829052"/>
        <n v="0.64970464408"/>
        <n v="0.732967076631"/>
        <n v="0.773798879286"/>
        <n v="0.655219335215"/>
        <n v="0.686869038418"/>
        <n v="0.685242811259"/>
        <n v="0.839519510644"/>
        <n v="0.64630549048"/>
        <n v="0.629364583279"/>
        <n v="0.732935493569"/>
        <n v="0.509276564278"/>
        <n v="0.739825370524"/>
        <n v="0.764562743284"/>
        <n v="0.709262095338"/>
        <n v="0.689990536409"/>
        <n v="0.612434659898"/>
        <n v="0.722584861547"/>
        <n v="0.675231103078"/>
        <n v="0.593964517141"/>
        <n v="0.837953214371"/>
        <n v="0.563623078896"/>
        <n v="0.919430187514"/>
        <n v="0.678360048655"/>
        <n v="0.70032237336"/>
        <n v="0.740279921755"/>
        <n v="0.853435979937"/>
        <n v="0.724016247464"/>
        <n v="0.879999282742"/>
        <n v="0.716609520067"/>
        <n v="0.778169671638"/>
        <n v="0.654948413438"/>
        <n v="0.611692920885"/>
        <n v="0.628675908738"/>
        <n v="0.720434573408"/>
        <n v="0.866755074595"/>
        <n v="0.803240248519"/>
        <n v="0.698656439507"/>
        <n v="0.440444985151"/>
        <n v="0.728155974175"/>
        <n v="0.705461191241"/>
        <n v="0.708622553237"/>
        <n v="0.773413912248"/>
        <n v="0.597660453897"/>
        <n v="0.584421219986"/>
        <n v="0.673186472295"/>
        <n v="0.496510700166"/>
        <n v="0.635837239323"/>
        <n v="0.809207147007"/>
        <n v="0.693870064436"/>
        <n v="0.677761902317"/>
        <n v="0.682400965145"/>
        <n v="0.709175128212"/>
        <n v="0.574533170778"/>
        <n v="0.627297295338"/>
        <n v="0.722844879877"/>
        <n v="0.685996051864"/>
        <n v="0.800425525498"/>
        <n v="0.586786632213"/>
        <n v="0.593911411096"/>
        <n v="0.636583788576"/>
        <n v="0.725678943474"/>
        <n v="0.762394035452"/>
        <n v="0.713469412917"/>
        <n v="0.744247116363"/>
        <n v="0.62343761272"/>
        <n v="0.75410334592"/>
        <n v="0.600280718113"/>
        <n v="0.621152364197"/>
        <n v="0.639736831069"/>
        <n v="0.656565382256"/>
        <n v="0.785281328671"/>
        <n v="0.878455860357"/>
        <n v="0.622356135625"/>
        <n v="0.628575741148"/>
        <n v="0.685428437184"/>
        <n v="0.778587591748"/>
        <n v="0.630643059486"/>
        <n v="0.811264050056"/>
        <n v="0.672662305846"/>
        <n v="0.527020338838"/>
        <n v="0.689292068596"/>
        <n v="0.752122979433"/>
        <n v="0.605390927161"/>
        <n v="0.585689639794"/>
        <n v="0.731279898341"/>
        <n v="0.919597883439"/>
        <n v="0.736758217631"/>
        <n v="0.676279550408"/>
        <n v="0.739422830945"/>
        <n v="0.629607983375"/>
        <n v="0.672022457346"/>
        <n v="0.718465812013"/>
        <n v="0.668842130331"/>
        <n v="0.625112958423"/>
        <n v="0.641349528953"/>
        <n v="0.671536428298"/>
        <n v="0.741611917344"/>
        <n v="0.56426858833"/>
        <n v="0.600184556904"/>
        <n v="0.685014702041"/>
        <n v="0.640808737217"/>
        <n v="0.733135260079"/>
        <n v="0.75824067586"/>
        <n v="0.691623046306"/>
        <n v="0.663459031645"/>
        <n v="0.641153811025"/>
        <n v="0.64701853699"/>
        <n v="0.719187415656"/>
        <n v="0.63858658714"/>
        <n v="0.533587838234"/>
        <n v="0.717646133466"/>
        <n v="0.642929435091"/>
        <n v="0.676180132656"/>
        <n v="0.390516301675"/>
        <n v="0.60074954016"/>
        <n v="0.645962433741"/>
        <n v="0.718285541623"/>
        <n v="0.64012447202"/>
        <n v="0.681131360811"/>
        <n v="0.682078196778"/>
        <n v="0.723770934662"/>
        <n v="0.580348807033"/>
        <n v="0.771831317557"/>
        <n v="0.641427060467"/>
        <n v="0.679709067886"/>
        <n v="0.796178287967"/>
        <n v="0.744390415261"/>
        <n v="0.620161530266"/>
        <n v="0.692007468793"/>
        <n v="0.731441352073"/>
        <n v="0.719598585351"/>
        <n v="0.555811045548"/>
        <n v="0.687997085163"/>
        <n v="0.793791826597"/>
        <n v="0.655912633779"/>
        <n v="0.667768444195"/>
        <n v="0.680792953211"/>
        <n v="0.656852164264"/>
        <n v="0.629814547672"/>
        <n v="0.714078704521"/>
        <n v="0.697212808919"/>
        <n v="0.5273112785"/>
        <n v="0.595127444454"/>
        <n v="0.695682661531"/>
        <n v="0.714848414635"/>
        <n v="0.704157612831"/>
        <n v="0.806297139669"/>
        <n v="0.756395030032"/>
        <n v="0.737344991485"/>
        <n v="0.72536718698"/>
        <n v="0.678164210268"/>
        <n v="0.631867546856"/>
        <n v="0.697591073669"/>
        <n v="0.684356462807"/>
        <n v="0.793978636413"/>
        <n v="0.641983032338"/>
        <n v="0.779761472208"/>
        <n v="0.680496397417"/>
        <n v="0.777072364174"/>
        <n v="0.693233521002"/>
        <n v="0.712767473912"/>
        <n v="0.714365144053"/>
        <n v="0.620300995943"/>
        <n v="0.699171683926"/>
        <n v="0.637203531839"/>
        <n v="0.733611994163"/>
        <n v="0.742986916858"/>
        <n v="0.742943270272"/>
        <n v="0.582941231408"/>
        <n v="0.740750794658"/>
        <n v="0.73339936194"/>
        <n v="0.659214568801"/>
        <n v="0.595009391429"/>
        <n v="0.7818892672"/>
        <n v="0.721542300865"/>
        <n v="0.594108744719"/>
        <n v="0.42815713931"/>
        <n v="0.679031270293"/>
        <n v="0.471712874557"/>
        <n v="0.679371382543"/>
        <n v="0.607363626125"/>
        <n v="0.721736338018"/>
        <n v="0.567145803599"/>
        <n v="0.696148973144"/>
        <n v="0.599340009341"/>
        <n v="0.674726458456"/>
        <n v="0.653756265259"/>
        <n v="0.694396183202"/>
        <n v="0.681993305709"/>
        <n v="0.540107530214"/>
        <n v="0.694023515455"/>
        <n v="0.605135960912"/>
        <n v="0.722278889709"/>
        <n v="0.747112930632"/>
        <n v="0.61125303421"/>
        <n v="0.790546557951"/>
        <n v="0.74125348972"/>
        <n v="0.751271963319"/>
        <n v="0.66437545599"/>
        <n v="0.696323753878"/>
        <n v="0.710290804553"/>
        <n v="0.664869191038"/>
        <n v="0.603469655054"/>
        <n v="0.690869985756"/>
        <n v="0.642964680831"/>
        <n v="0.662761595893"/>
        <n v="0.611212036308"/>
        <n v="0.706702413601"/>
        <n v="0.694572664498"/>
        <n v="0.736402505343"/>
        <n v="0.771659779483"/>
        <n v="0.559355180591"/>
        <n v="0.495478888584"/>
        <n v="0.592959227375"/>
        <n v="0.658398493717"/>
        <n v="0.686291044874"/>
        <n v="0.651686723242"/>
        <n v="0.721892394616"/>
        <n v="0.758416156518"/>
        <n v="0.744631807202"/>
        <n v="0.652711059848"/>
        <n v="0.517772567459"/>
        <n v="0.62571569099"/>
        <n v="0.75437440361"/>
        <n v="0.629273926346"/>
        <n v="0.681654643473"/>
        <n v="0.708005979828"/>
        <n v="0.710907925608"/>
        <n v="0.637998281771"/>
        <n v="0.751545392096"/>
        <n v="0.793538131247"/>
        <n v="0.713252260136"/>
        <n v="0.652977886361"/>
        <n v="0.710539923687"/>
        <n v="0.513317137619"/>
        <n v="0.70274358749"/>
        <n v="0.629038101871"/>
        <n v="0.696820637434"/>
        <n v="0.589939388007"/>
        <n v="0.661755320806"/>
        <n v="0.572992968133"/>
        <n v="0.630045041748"/>
        <n v="0.628306818683"/>
        <n v="0.68182439107"/>
        <n v="0.692323805389"/>
        <n v="0.694533798348"/>
        <n v="0.673955040841"/>
        <n v="0.643462842536"/>
        <n v="0.68645420088"/>
        <n v="0.700393250385"/>
        <n v="0.697971299029"/>
        <n v="0.782329121029"/>
        <n v="0.657964074948"/>
        <n v="0.545435158973"/>
        <n v="0.610686341713"/>
        <n v="0.825014575837"/>
        <n v="0.673664811395"/>
        <n v="0.81080190874"/>
        <n v="0.763815992814"/>
        <n v="0.562536440441"/>
        <n v="0.705715829127"/>
        <n v="0.66412469116"/>
        <n v="0.547672152068"/>
        <n v="0.74217242956"/>
        <n v="0.584275198899"/>
        <n v="0.671051785594"/>
        <n v="0.660293022888"/>
        <n v="0.678092758651"/>
        <n v="0.709678598243"/>
        <n v="0.677359068394"/>
        <n v="0.71378060188"/>
        <n v="0.68426468227"/>
        <n v="0.676026247128"/>
        <n v="0.556478231873"/>
        <n v="0.622140722452"/>
        <n v="0.642332808958"/>
        <n v="0.538278654218"/>
        <n v="0.679853186041"/>
        <n v="0.763217529398"/>
        <n v="0.626817201947"/>
        <n v="0.687183985514"/>
        <n v="0.620799859941"/>
        <n v="0.76803620525"/>
        <n v="0.727168499158"/>
        <n v="0.739659290019"/>
        <n v="0.667378817871"/>
        <n v="0.753907046429"/>
        <n v="0.598207946506"/>
        <n v="0.649631946458"/>
        <n v="0.75343961236"/>
        <n v="0.70210528762"/>
        <n v="0.530380295368"/>
        <n v="0.703051399292"/>
        <n v="0.709023200852"/>
        <n v="0.681631164623"/>
        <n v="0.805543287361"/>
        <n v="0.702808181158"/>
        <n v="0.679071347159"/>
        <n v="0.643341359284"/>
        <n v="0.6155679797"/>
        <n v="0.582818647509"/>
        <n v="0.752218892059"/>
        <n v="0.634265349694"/>
        <n v="0.583417474752"/>
        <n v="0.786051044208"/>
        <n v="0.64869144198"/>
        <n v="0.649931742909"/>
        <n v="0.716903391141"/>
        <n v="0.829012731996"/>
        <n v="0.688476798122"/>
        <n v="0.706969777593"/>
        <n v="0.714489411395"/>
        <n v="0.605256057082"/>
        <n v="0.716091725937"/>
        <n v="0.69847907573"/>
        <n v="0.642434765529"/>
        <n v="0.646688763907"/>
        <n v="0.770490956578"/>
        <n v="0.764073294004"/>
        <n v="0.630239729182"/>
        <n v="0.640023575879"/>
        <n v="0.72765224562"/>
        <n v="0.666867917176"/>
        <n v="0.700847943908"/>
        <n v="0.546698728692"/>
        <n v="0.661295743743"/>
        <n v="0.456386213474"/>
        <n v="0.598311800316"/>
        <n v="0.756179946351"/>
        <n v="0.674486976307"/>
        <n v="0.621841558344"/>
        <n v="0.627635586299"/>
        <n v="0.636374734464"/>
        <n v="0.636819277976"/>
        <n v="0.711662174281"/>
        <n v="0.708072016285"/>
        <n v="0.650019693802"/>
        <n v="0.826614949615"/>
        <n v="0.755882674874"/>
        <n v="0.667919504024"/>
        <n v="0.717217541561"/>
        <n v="0.727260186823"/>
        <n v="0.739257563261"/>
        <n v="0.700605260443"/>
        <n v="0.736056905172"/>
        <n v="0.655692828585"/>
        <n v="0.606892055864"/>
        <n v="0.743661042623"/>
        <n v="0.795544042996"/>
        <n v="0.708367084432"/>
        <n v="0.603140648299"/>
        <n v="0.689235523832"/>
        <n v="0.63771052203"/>
        <n v="0.658238783602"/>
        <n v="0.640362674012"/>
        <n v="0.649148848041"/>
        <n v="0.69237901053"/>
        <n v="0.647430583194"/>
        <n v="0.609782591435"/>
        <n v="0.57475094934"/>
        <n v="0.726211765488"/>
        <n v="0.770047320817"/>
        <n v="0.685708665353"/>
        <n v="0.387177952894"/>
        <n v="0.728890610718"/>
        <n v="0.72488317781"/>
        <n v="0.720327925277"/>
        <n v="0.646484505864"/>
        <n v="0.729243328251"/>
        <n v="0.669340307356"/>
        <n v="0.736890568286"/>
        <n v="0.726680892534"/>
        <n v="0.701996986052"/>
        <n v="0.726084966026"/>
        <n v="0.711949819941"/>
        <n v="0.665032344132"/>
        <n v="0.717942657652"/>
        <n v="0.685065890658"/>
        <n v="0.70410500956"/>
        <n v="0.679333356337"/>
        <n v="0.65898219541"/>
        <n v="0.718798194941"/>
        <n v="0.783534919013"/>
        <n v="0.772342454314"/>
        <n v="0.664291270285"/>
        <n v="0.729321635289"/>
        <n v="0.759803115084"/>
        <n v="0.725117408642"/>
        <n v="0.687482907625"/>
        <n v="0.680416804122"/>
        <n v="0.657052623088"/>
        <n v="0.728741036225"/>
        <n v="0.642500079803"/>
        <n v="0.748832119202"/>
        <n v="0.752464476272"/>
        <n v="0.774251824117"/>
        <n v="0.666391579104"/>
        <n v="0.774457432966"/>
        <n v="0.742476996191"/>
        <n v="0.859375382185"/>
        <n v="0.746092558887"/>
        <n v="0.72321605487"/>
        <n v="0.733984253453"/>
        <n v="0.774957896424"/>
        <n v="0.649216920084"/>
        <n v="0.695605573071"/>
        <n v="0.812718994377"/>
        <n v="0.659773795012"/>
        <n v="0.69616217514"/>
        <n v="0.7105847243"/>
        <n v="0.803299536432"/>
        <n v="0.728344697015"/>
        <n v="0.694143531173"/>
        <n v="0.792684972174"/>
        <n v="0.721205957158"/>
        <n v="0.789130871471"/>
        <n v="0.195111888746"/>
        <n v="0.674944912454"/>
        <n v="0.683911082044"/>
        <n v="0.658821432118"/>
        <n v="0.729798490104"/>
        <n v="0.713598708914"/>
        <n v="0.665128757168"/>
        <n v="0.701385099275"/>
        <n v="0.759879682656"/>
        <n v="0.670264483898"/>
        <n v="0.758129119083"/>
        <n v="0.754239161982"/>
        <n v="0.762805999941"/>
        <n v="0.793201336335"/>
        <n v="0.807909357556"/>
        <n v="0.764702530658"/>
        <n v="0.855137379911"/>
        <n v="0.784271323939"/>
        <n v="0.820109476357"/>
        <n v="0.698929790748"/>
        <n v="0.767680331627"/>
        <n v="0.822553928899"/>
        <n v="0.854094352278"/>
        <n v="0.817743238794"/>
        <n v="0.819239519598"/>
        <n v="0.654827747972"/>
        <n v="0.641688893423"/>
        <n v="0.742677340231"/>
        <n v="0.795729224628"/>
        <n v="0.726578280294"/>
        <n v="0.826190635014"/>
        <n v="0.74140948138"/>
        <n v="0.710092011238"/>
        <n v="0.68838409714"/>
        <n v="0.813191023273"/>
        <n v="0.647057722463"/>
        <n v="0.769814516476"/>
        <n v="0.725566668184"/>
        <n v="0.743927837696"/>
        <n v="0.595396840663"/>
        <n v="0.715398866573"/>
        <n v="0.734981500489"/>
        <n v="0.758844058091"/>
        <n v="0.785747276695"/>
        <n v="0.772689244054"/>
        <n v="0.760027511169"/>
        <n v="0.822320146854"/>
        <n v="0.748401334188"/>
        <n v="0.759292782523"/>
        <n v="0.604466985469"/>
        <n v="0.786432987058"/>
        <n v="0.716954809854"/>
        <n v="0.787938035795"/>
        <n v="0.766533251105"/>
        <n v="0.730602587701"/>
        <n v="0.688771160268"/>
        <n v="0.785941289602"/>
        <n v="0.73803350636"/>
        <n v="0.692116439226"/>
        <n v="0.742449309393"/>
        <n v="0.828729228501"/>
        <n v="0.74377823658"/>
        <n v="0.80836091748"/>
        <n v="0.777373657802"/>
        <n v="0.767083828835"/>
        <n v="0.732664387924"/>
        <n v="0.71524531392"/>
        <n v="0.781833406916"/>
        <n v="0.797568611946"/>
        <n v="0.711092366366"/>
        <n v="0.733948894076"/>
        <n v="0.771632031913"/>
        <n v="0.874890634948"/>
        <n v="0.746444853199"/>
        <n v="0.730699755731"/>
        <n v="0.725507052841"/>
        <n v="0.740167118247"/>
        <n v="0.711169551792"/>
        <n v="0.785497251728"/>
        <n v="0.715816196288"/>
        <n v="0.71978538556"/>
        <n v="0.768918706544"/>
        <n v="0.727077984485"/>
        <n v="0.749660983224"/>
        <n v="0.630655089634"/>
        <n v="0.835628438801"/>
        <n v="0.878335876538"/>
        <n v="0.598031269874"/>
        <n v="0.694169420366"/>
        <n v="0.640518221663"/>
        <n v="0.669649224144"/>
        <n v="0.691418077915"/>
        <n v="0.59940928905"/>
        <n v="0.66624394837"/>
        <n v="0.739247273891"/>
        <n v="0.71261292964"/>
        <n v="0.740495146802"/>
        <n v="0.738898442224"/>
        <n v="0.680012333658"/>
        <n v="0.70158963812"/>
        <n v="0.623788227996"/>
        <n v="0.71725878967"/>
        <n v="0.695302082942"/>
        <n v="0.657864837431"/>
        <n v="0.679836539065"/>
        <n v="0.677125824136"/>
        <n v="0.6829328575"/>
        <n v="0.809707859091"/>
        <n v="0.795750408101"/>
        <n v="0.717467038267"/>
        <n v="0.707204831395"/>
        <n v="0.737094264293"/>
        <n v="0.735918317332"/>
        <n v="0.8613837029"/>
        <n v="0.735297130333"/>
        <n v="0.629668844896"/>
        <n v="0.690972948692"/>
        <n v="0.651810860257"/>
        <n v="0.665431191907"/>
        <n v="0.693426472724"/>
        <n v="0.686702324455"/>
        <n v="0.689790489515"/>
        <n v="0.701150448049"/>
        <n v="0.802372929063"/>
        <n v="0.690078913617"/>
      </sharedItems>
    </cacheField>
    <cacheField name="Release Dates" numFmtId="167">
      <sharedItems containsDate="1" containsString="0" containsBlank="1">
        <d v="2009-05-27T00:00:00Z"/>
        <d v="2009-05-31T00:00:00Z"/>
        <d v="2009-06-11T00:00:00Z"/>
        <d v="2009-06-12T00:00:00Z"/>
        <d v="2009-06-18T00:00:00Z"/>
        <d v="2009-06-24T00:00:00Z"/>
        <d v="2009-06-30T00:00:00Z"/>
        <d v="2009-07-27T00:00:00Z"/>
        <d v="2009-08-01T00:00:00Z"/>
        <d v="2009-08-06T00:00:00Z"/>
        <d v="2009-08-13T00:00:00Z"/>
        <d v="2009-08-21T00:00:00Z"/>
        <d v="2009-08-22T00:00:00Z"/>
        <d v="2009-08-27T00:00:00Z"/>
        <d v="2009-09-04T00:00:00Z"/>
        <d v="2009-09-05T00:00:00Z"/>
        <d v="2009-09-11T00:00:00Z"/>
        <d v="2009-09-18T00:00:00Z"/>
        <d v="2009-09-24T00:00:00Z"/>
        <d v="2009-09-30T00:00:00Z"/>
        <d v="2009-10-09T00:00:00Z"/>
        <d v="2009-10-28T00:00:00Z"/>
        <d v="2009-11-03T00:00:00Z"/>
        <d v="2009-11-07T00:00:00Z"/>
        <d v="2009-11-17T00:00:00Z"/>
        <d v="2009-11-28T00:00:00Z"/>
        <d v="2009-12-06T00:00:00Z"/>
        <d v="2009-12-19T00:00:00Z"/>
        <d v="2009-12-22T00:00:00Z"/>
        <d v="2009-12-31T00:00:00Z"/>
        <d v="2010-01-09T00:00:00Z"/>
        <d v="2010-01-20T00:00:00Z"/>
        <d v="2010-02-03T00:00:00Z"/>
        <d v="2010-02-09T00:00:00Z"/>
        <d v="2010-02-17T00:00:00Z"/>
        <d v="2010-02-22T00:00:00Z"/>
        <d v="2010-03-06T00:00:00Z"/>
        <d v="2010-03-13T00:00:00Z"/>
        <d v="2010-03-20T00:00:00Z"/>
        <d v="2010-04-10T00:00:00Z"/>
        <d v="2010-04-15T00:00:00Z"/>
        <d v="2010-04-23T00:00:00Z"/>
        <d v="2010-04-30T00:00:00Z"/>
        <d v="2010-05-06T00:00:00Z"/>
        <d v="2010-05-13T00:00:00Z"/>
        <d v="2010-05-21T00:00:00Z"/>
        <d v="2010-05-30T00:00:00Z"/>
        <d v="2010-06-11T00:00:00Z"/>
        <d v="2010-06-21T00:00:00Z"/>
        <d v="2010-07-03T00:00:00Z"/>
        <d v="2010-07-17T00:00:00Z"/>
        <d v="2010-07-26T00:00:00Z"/>
        <d v="2010-08-04T00:00:00Z"/>
        <d v="2010-08-13T00:00:00Z"/>
        <d v="2010-08-20T00:00:00Z"/>
        <d v="2010-09-10T00:00:00Z"/>
        <d v="2010-09-17T00:00:00Z"/>
        <d v="2010-10-02T00:00:00Z"/>
        <d v="2010-10-24T00:00:00Z"/>
        <d v="2010-11-17T00:00:00Z"/>
        <d v="2010-12-31T00:00:00Z"/>
        <d v="2010-10-23T00:00:00Z"/>
        <d v="2010-12-17T00:00:00Z"/>
        <d v="2011-01-03T00:00:00Z"/>
        <d v="2011-01-08T00:00:00Z"/>
        <d v="2011-01-16T00:00:00Z"/>
        <d v="2011-01-22T00:00:00Z"/>
        <d v="2011-01-28T00:00:00Z"/>
        <d v="2011-02-05T00:00:00Z"/>
        <d v="2011-02-10T00:00:00Z"/>
        <d v="2011-02-20T00:00:00Z"/>
        <d v="2011-03-03T00:00:00Z"/>
        <d v="2011-03-18T00:00:00Z"/>
        <d v="2011-03-26T00:00:00Z"/>
        <d v="2011-04-02T00:00:00Z"/>
        <d v="2011-04-14T00:00:00Z"/>
        <d v="2011-04-23T00:00:00Z"/>
        <d v="2011-05-21T00:00:00Z"/>
        <d v="2011-06-29T00:00:00Z"/>
        <d v="2011-07-20T00:00:00Z"/>
        <d v="2011-08-18T00:00:00Z"/>
        <d v="2011-09-15T00:00:00Z"/>
        <d v="2011-07-06T00:00:00Z"/>
        <d v="2011-07-14T00:00:00Z"/>
        <d v="2011-07-22T00:00:00Z"/>
        <d v="2011-08-02T00:00:00Z"/>
        <d v="2011-08-12T00:00:00Z"/>
        <d v="2011-08-26T00:00:00Z"/>
        <d v="2011-09-09T00:00:00Z"/>
        <d v="2011-09-17T00:00:00Z"/>
        <d v="2011-09-30T00:00:00Z"/>
        <d v="2011-10-11T00:00:00Z"/>
        <d v="2011-10-22T00:00:00Z"/>
        <d v="2011-11-05T00:00:00Z"/>
        <d v="2011-11-11T00:00:00Z"/>
        <d v="2011-11-18T00:00:00Z"/>
        <d v="2011-11-25T00:00:00Z"/>
        <d v="2011-12-02T00:00:00Z"/>
        <d v="2011-12-04T00:00:00Z"/>
        <d v="2011-12-15T00:00:00Z"/>
        <d v="2012-01-07T00:00:00Z"/>
        <d v="2012-01-20T00:00:00Z"/>
        <d v="2012-01-28T00:00:00Z"/>
        <d v="2012-02-03T00:00:00Z"/>
        <d v="2012-02-17T00:00:00Z"/>
        <d v="2012-03-02T00:00:00Z"/>
        <d v="2012-03-15T00:00:00Z"/>
        <d v="2012-03-23T00:00:00Z"/>
        <d v="2012-04-09T00:00:00Z"/>
        <d v="2012-04-30T00:00:00Z"/>
        <d v="2012-05-04T00:00:00Z"/>
        <d v="2012-05-15T00:00:00Z"/>
        <d v="2012-06-06T00:00:00Z"/>
        <d v="2012-07-11T00:00:00Z"/>
        <d v="2012-08-03T00:00:00Z"/>
        <d v="2012-01-17T00:00:00Z"/>
        <d v="2012-01-24T00:00:00Z"/>
        <d v="2012-02-01T00:00:00Z"/>
        <d v="2012-02-08T00:00:00Z"/>
        <d v="2012-02-15T00:00:00Z"/>
        <d v="2012-02-23T00:00:00Z"/>
        <d v="2012-03-13T00:00:00Z"/>
        <d v="2012-03-30T00:00:00Z"/>
        <d v="2012-04-18T00:00:00Z"/>
        <d v="2012-05-29T00:00:00Z"/>
        <d v="2012-06-11T00:00:00Z"/>
        <d v="2012-06-15T00:00:00Z"/>
        <d v="2012-06-20T00:00:00Z"/>
        <d v="2012-06-25T00:00:00Z"/>
        <d v="2012-06-29T00:00:00Z"/>
        <d v="2012-07-09T00:00:00Z"/>
        <d v="2012-07-19T00:00:00Z"/>
        <d v="2012-07-25T00:00:00Z"/>
        <d v="2012-08-02T00:00:00Z"/>
        <d v="2012-08-07T00:00:00Z"/>
        <d v="2012-08-16T00:00:00Z"/>
        <d v="2012-08-22T00:00:00Z"/>
        <d v="2012-09-11T00:00:00Z"/>
        <d v="2012-09-25T00:00:00Z"/>
        <d v="2012-09-27T00:00:00Z"/>
        <d v="2012-10-12T00:00:00Z"/>
        <d v="2012-10-25T00:00:00Z"/>
        <d v="2012-11-26T00:00:00Z"/>
        <d v="2012-12-13T00:00:00Z"/>
        <d v="2013-01-10T00:00:00Z"/>
        <d v="2013-01-18T00:00:00Z"/>
        <d v="2013-02-06T00:00:00Z"/>
        <d v="2013-02-15T00:00:00Z"/>
        <d v="2013-02-25T00:00:00Z"/>
        <d v="2013-03-07T00:00:00Z"/>
        <d v="2013-04-09T00:00:00Z"/>
        <d v="2013-06-04T00:00:00Z"/>
        <d v="2013-06-13T00:00:00Z"/>
        <d v="2013-10-18T00:00:00Z"/>
        <d v="2014-06-16T00:00:00Z"/>
        <d v="2014-07-31T00:00:00Z"/>
        <d v="2012-07-20T00:00:00Z"/>
        <d v="2012-08-28T00:00:00Z"/>
        <d v="2012-09-18T00:00:00Z"/>
        <d v="2012-10-24T00:00:00Z"/>
        <d v="2012-12-21T00:00:00Z"/>
        <d v="2012-12-30T00:00:00Z"/>
        <d v="2013-01-11T00:00:00Z"/>
        <d v="2013-01-24T00:00:00Z"/>
        <d v="2013-02-07T00:00:00Z"/>
        <d v="2013-02-19T00:00:00Z"/>
        <d v="2013-03-01T00:00:00Z"/>
        <d v="2013-03-06T00:00:00Z"/>
        <d v="2013-03-11T00:00:00Z"/>
        <d v="2013-03-21T00:00:00Z"/>
        <d v="2013-03-28T00:00:00Z"/>
        <d v="2013-04-03T00:00:00Z"/>
        <d v="2013-04-11T00:00:00Z"/>
        <d v="2013-04-23T00:00:00Z"/>
        <d v="2013-05-14T00:00:00Z"/>
        <d v="2013-05-17T00:00:00Z"/>
        <d v="2013-05-24T00:00:00Z"/>
        <d v="2013-05-30T00:00:00Z"/>
        <d v="2013-06-18T00:00:00Z"/>
        <d v="2013-07-09T00:00:00Z"/>
        <d v="2013-07-25T00:00:00Z"/>
        <d v="2013-08-16T00:00:00Z"/>
        <d v="2013-08-21T00:00:00Z"/>
        <d v="2013-09-04T00:00:00Z"/>
        <d v="2013-09-24T00:00:00Z"/>
        <d v="2013-09-30T00:00:00Z"/>
        <d v="2013-11-12T00:00:00Z"/>
        <d v="2013-12-12T00:00:00Z"/>
        <d v="2013-12-19T00:00:00Z"/>
        <d v="2014-01-23T00:00:00Z"/>
        <d v="2014-02-19T00:00:00Z"/>
        <d v="2014-05-01T00:00:00Z"/>
        <d v="2014-05-02T00:00:00Z"/>
        <d v="2014-06-09T00:00:00Z"/>
        <d v="2014-08-19T00:00:00Z"/>
        <d v="2014-09-16T00:00:00Z"/>
        <d v="2014-10-23T00:00:00Z"/>
        <d v="2014-12-17T00:00:00Z"/>
        <d v="2014-12-24T00:00:00Z"/>
        <d v="2015-01-26T00:00:00Z"/>
        <d v="2015-03-12T00:00:00Z"/>
        <d v="2015-03-23T00:00:00Z"/>
        <d v="2015-06-22T00:00:00Z"/>
        <d v="2015-07-09T00:00:00Z"/>
        <d v="2015-11-22T00:00:00Z"/>
        <d v="2015-12-04T00:00:00Z"/>
        <d v="2016-02-09T00:00:00Z"/>
        <d v="2016-03-04T00:00:00Z"/>
        <d v="2016-03-31T00:00:00Z"/>
        <d v="2016-05-06T00:00:00Z"/>
        <d v="2016-06-23T00:00:00Z"/>
        <d v="2016-09-28T00:00:00Z"/>
        <d v="2016-10-18T00:00:00Z"/>
        <d v="2013-04-19T00:00:00Z"/>
        <d v="2013-05-13T00:00:00Z"/>
        <d v="2013-06-26T00:00:00Z"/>
        <d v="2013-07-12T00:00:00Z"/>
        <d v="2013-08-07T00:00:00Z"/>
        <d v="2013-10-30T00:00:00Z"/>
        <d v="2013-11-21T00:00:00Z"/>
        <d v="2014-01-01T00:00:00Z"/>
        <d v="2014-01-29T00:00:00Z"/>
        <d v="2014-03-12T00:00:00Z"/>
        <d v="2014-09-25T00:00:00Z"/>
        <d v="2015-01-20T00:00:00Z"/>
        <d v="2015-01-30T00:00:00Z"/>
        <d v="2015-02-06T00:00:00Z"/>
        <d v="2015-03-24T00:00:00Z"/>
        <d v="2015-03-31T00:00:00Z"/>
        <d v="2015-05-14T00:00:00Z"/>
        <d v="2015-05-23T00:00:00Z"/>
        <d v="2015-07-04T00:00:00Z"/>
        <d v="2015-11-19T00:00:00Z"/>
        <d v="2015-11-24T00:00:00Z"/>
        <d v="2016-03-03T00:00:00Z"/>
        <d v="2016-03-09T00:00:00Z"/>
        <d v="2016-04-01T00:00:00Z"/>
        <d v="2016-12-21T00:00:00Z"/>
        <d v="2015-01-14T00:00:00Z"/>
        <d v="2015-01-16T00:00:00Z"/>
        <d v="2015-01-24T00:00:00Z"/>
        <d v="2015-02-03T00:00:00Z"/>
        <d v="2015-02-11T00:00:00Z"/>
        <d v="2015-02-20T00:00:00Z"/>
        <d v="2015-02-26T00:00:00Z"/>
        <d v="2015-02-28T00:00:00Z"/>
        <d v="2015-03-03T00:00:00Z"/>
        <d v="2015-03-06T00:00:00Z"/>
        <d v="2015-03-09T00:00:00Z"/>
        <d v="2015-03-19T00:00:00Z"/>
        <d v="2015-03-20T00:00:00Z"/>
        <d v="2015-04-05T00:00:00Z"/>
        <d v="2015-04-06T00:00:00Z"/>
        <d v="2015-04-14T00:00:00Z"/>
        <d v="2015-04-20T00:00:00Z"/>
        <d v="2015-05-18T00:00:00Z"/>
        <d v="2015-05-04T00:00:00Z"/>
        <d v="2015-05-07T00:00:00Z"/>
        <d v="2015-05-15T00:00:00Z"/>
        <d v="2015-05-24T00:00:00Z"/>
        <d v="2015-05-31T00:00:00Z"/>
        <d v="2015-06-01T00:00:00Z"/>
        <d v="2015-06-13T00:00:00Z"/>
        <d v="2015-06-23T00:00:00Z"/>
        <d v="2015-07-02T00:00:00Z"/>
        <d v="2015-07-17T00:00:00Z"/>
        <d v="2015-07-28T00:00:00Z"/>
        <d v="2015-06-30T00:00:00Z"/>
        <d v="2015-07-13T00:00:00Z"/>
        <d v="2015-07-22T00:00:00Z"/>
        <d v="2015-07-24T00:00:00Z"/>
        <d v="2015-07-30T00:00:00Z"/>
        <d v="2015-08-03T00:00:00Z"/>
        <d v="2015-08-04T00:00:00Z"/>
        <d v="2015-08-19T00:00:00Z"/>
        <d v="2015-08-25T00:00:00Z"/>
        <d v="2015-09-02T00:00:00Z"/>
        <d v="2015-09-15T00:00:00Z"/>
        <d v="2015-09-06T00:00:00Z"/>
        <d v="2015-09-07T00:00:00Z"/>
        <d v="2015-09-08T00:00:00Z"/>
        <d v="2015-09-17T00:00:00Z"/>
        <d v="2015-09-23T00:00:00Z"/>
        <d v="2015-10-05T00:00:00Z"/>
        <d v="2015-10-12T00:00:00Z"/>
        <d v="2015-10-13T00:00:00Z"/>
        <d v="2015-10-29T00:00:00Z"/>
        <d v="2015-11-02T00:00:00Z"/>
        <d v="2015-11-03T00:00:00Z"/>
        <d v="2015-12-21T00:00:00Z"/>
        <d v="2015-12-23T00:00:00Z"/>
        <d v="2016-01-20T00:00:00Z"/>
        <d v="2016-01-21T00:00:00Z"/>
        <d v="2016-02-12T00:00:00Z"/>
        <d v="2016-02-15T00:00:00Z"/>
        <d v="2016-02-17T00:00:00Z"/>
        <d v="2016-03-02T00:00:00Z"/>
        <d v="2016-02-18T00:00:00Z"/>
        <d v="2016-02-23T00:00:00Z"/>
        <d v="2016-03-22T00:00:00Z"/>
        <d v="2016-04-12T00:00:00Z"/>
        <d v="2016-05-24T00:00:00Z"/>
        <d v="2016-06-28T00:00:00Z"/>
        <d v="2016-08-16T00:00:00Z"/>
        <d v="2016-11-08T00:00:00Z"/>
        <d v="2016-12-06T00:00:00Z"/>
        <d v="2017-01-03T00:00:00Z"/>
        <d v="2017-01-05T00:00:00Z"/>
        <d v="2017-02-01T00:00:00Z"/>
        <d v="2017-02-22T00:00:00Z"/>
        <d v="2017-03-21T00:00:00Z"/>
        <d v="2017-04-04T00:00:00Z"/>
        <d v="2017-05-02T00:00:00Z"/>
        <d v="2017-07-11T00:00:00Z"/>
        <d v="2015-10-27T00:00:00Z"/>
        <d v="2015-11-17T00:00:00Z"/>
        <d v="2015-12-09T00:00:00Z"/>
        <d v="2015-12-16T00:00:00Z"/>
        <d v="2016-01-06T00:00:00Z"/>
        <d v="2016-01-12T00:00:00Z"/>
        <d v="2016-03-14T00:00:00Z"/>
        <d v="2016-03-16T00:00:00Z"/>
        <d v="2016-03-23T00:00:00Z"/>
        <d v="2016-04-05T00:00:00Z"/>
        <d v="2016-04-21T00:00:00Z"/>
        <d v="2016-05-05T00:00:00Z"/>
        <d v="2016-04-26T00:00:00Z"/>
        <d v="2016-05-17T00:00:00Z"/>
        <d v="2016-06-02T00:00:00Z"/>
        <d v="2016-06-17T00:00:00Z"/>
        <d v="2016-07-06T00:00:00Z"/>
        <d v="2016-07-21T00:00:00Z"/>
        <d v="2016-08-15T00:00:00Z"/>
        <d v="2016-08-26T00:00:00Z"/>
        <d v="2016-09-15T00:00:00Z"/>
        <d v="2016-10-12T00:00:00Z"/>
        <d v="2016-10-15T00:00:00Z"/>
        <d v="2016-10-19T00:00:00Z"/>
        <d v="2017-01-31T00:00:00Z"/>
        <d v="2017-06-06T00:00:00Z"/>
        <d v="2017-08-01T00:00:00Z"/>
        <d v="2017-09-05T00:00:00Z"/>
        <d v="2016-10-25T00:00:00Z"/>
        <d v="2016-11-22T00:00:00Z"/>
        <d v="2016-12-20T00:00:00Z"/>
        <d v="2017-01-04T00:00:00Z"/>
        <d v="2017-03-01T00:00:00Z"/>
        <d v="2017-03-02T00:00:00Z"/>
        <d v="2017-03-08T00:00:00Z"/>
        <d v="2017-03-14T00:00:00Z"/>
        <d v="2017-03-29T00:00:00Z"/>
        <d v="2017-04-11T00:00:00Z"/>
        <d v="2017-05-03T00:00:00Z"/>
        <d v="2017-05-30T00:00:00Z"/>
        <d v="2017-06-08T00:00:00Z"/>
        <d v="2017-06-13T00:00:00Z"/>
        <d v="2017-06-15T00:00:00Z"/>
        <d v="2017-06-29T00:00:00Z"/>
        <d v="2017-07-19T00:00:00Z"/>
        <d v="2017-07-20T00:00:00Z"/>
        <d v="2017-08-10T00:00:00Z"/>
        <d v="2017-08-15T00:00:00Z"/>
        <d v="2017-09-12T00:00:00Z"/>
        <d v="2017-09-26T00:00:00Z"/>
        <m/>
      </sharedItems>
    </cacheField>
    <cacheField name="Pivot dates" numFmtId="0">
      <sharedItems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</sharedItems>
    </cacheField>
    <cacheField name="Pivot release dates" numFmtId="0">
      <sharedItems containsBlank="1"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6"/>
        <s v="2013-10"/>
        <s v="2014-06"/>
        <s v="2014-07"/>
        <s v="2013-05"/>
        <s v="2013-07"/>
        <s v="2013-08"/>
        <s v="2013-09"/>
        <s v="2013-11"/>
        <s v="2013-12"/>
        <s v="2014-01"/>
        <s v="2014-02"/>
        <s v="2014-05"/>
        <s v="2014-08"/>
        <s v="2014-09"/>
        <s v="2014-10"/>
        <s v="2014-12"/>
        <s v="2015-01"/>
        <s v="2015-03"/>
        <s v="2015-06"/>
        <s v="2015-07"/>
        <s v="2015-11"/>
        <s v="2015-12"/>
        <s v="2016-02"/>
        <s v="2016-03"/>
        <s v="2016-05"/>
        <s v="2016-06"/>
        <s v="2016-09"/>
        <s v="2016-10"/>
        <s v="2014-03"/>
        <s v="2015-02"/>
        <s v="2015-05"/>
        <s v="2016-04"/>
        <s v="2016-12"/>
        <s v="2015-04"/>
        <s v="2015-08"/>
        <s v="2015-09"/>
        <s v="2015-10"/>
        <s v="2016-01"/>
        <s v="2016-08"/>
        <s v="2016-11"/>
        <s v="2017-01"/>
        <s v="2017-02"/>
        <s v="2017-03"/>
        <s v="2017-04"/>
        <s v="2017-05"/>
        <s v="2017-07"/>
        <s v="2016-07"/>
        <s v="2017-06"/>
        <s v="2017-08"/>
        <s v="2017-0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G93:K821" sheet="Raw"/>
  </cacheSource>
  <cacheFields>
    <cacheField name="Date" numFmtId="167">
      <sharedItems containsSemiMixedTypes="0" containsDate="1" containsString="0">
        <d v="2010-10-21T00:00:00Z"/>
        <d v="2010-10-28T00:00:00Z"/>
        <d v="2010-10-29T00:00:00Z"/>
        <d v="2010-11-04T00:00:00Z"/>
        <d v="2010-11-06T00:00:00Z"/>
        <d v="2010-11-11T00:00:00Z"/>
        <d v="2010-11-12T00:00:00Z"/>
        <d v="2010-11-19T00:00:00Z"/>
        <d v="2010-11-25T00:00:00Z"/>
        <d v="2010-12-05T00:00:00Z"/>
        <d v="2010-12-11T00:00:00Z"/>
        <d v="2010-12-17T00:00:00Z"/>
        <d v="2010-12-24T00:00:00Z"/>
        <d v="2011-01-14T00:00:00Z"/>
        <d v="2011-01-20T00:00:00Z"/>
        <d v="2011-01-21T00:00:00Z"/>
        <d v="2011-01-22T00:00:00Z"/>
        <d v="2011-01-23T00:00:00Z"/>
        <d v="2011-01-29T00:00:00Z"/>
        <d v="2011-01-30T00:00:00Z"/>
        <d v="2011-02-03T00:00:00Z"/>
        <d v="2011-02-04T00:00:00Z"/>
        <d v="2011-02-06T00:00:00Z"/>
        <d v="2011-02-10T00:00:00Z"/>
        <d v="2011-02-11T00:00:00Z"/>
        <d v="2011-02-12T00:00:00Z"/>
        <d v="2011-02-13T00:00:00Z"/>
        <d v="2011-02-19T00:00:00Z"/>
        <d v="2011-02-20T00:00:00Z"/>
        <d v="2011-02-24T00:00:00Z"/>
        <d v="2011-02-25T00:00:00Z"/>
        <d v="2011-02-27T00:00:00Z"/>
        <d v="2011-03-03T00:00:00Z"/>
        <d v="2011-03-12T00:00:00Z"/>
        <d v="2011-03-13T00:00:00Z"/>
        <d v="2011-03-17T00:00:00Z"/>
        <d v="2011-04-01T00:00:00Z"/>
        <d v="2011-04-07T00:00:00Z"/>
        <d v="2011-04-15T00:00:00Z"/>
        <d v="2011-05-07T00:00:00Z"/>
        <d v="2011-05-12T00:00:00Z"/>
        <d v="2011-05-14T00:00:00Z"/>
        <d v="2011-05-20T00:00:00Z"/>
        <d v="2011-05-27T00:00:00Z"/>
        <d v="2011-05-28T00:00:00Z"/>
        <d v="2011-06-09T00:00:00Z"/>
        <d v="2011-06-10T00:00:00Z"/>
        <d v="2011-06-11T00:00:00Z"/>
        <d v="2011-06-12T00:00:00Z"/>
        <d v="2011-06-16T00:00:00Z"/>
        <d v="2011-06-17T00:00:00Z"/>
        <d v="2011-06-18T00:00:00Z"/>
        <d v="2011-06-19T00:00:00Z"/>
        <d v="2011-06-23T00:00:00Z"/>
        <d v="2011-06-24T00:00:00Z"/>
        <d v="2011-06-25T00:00:00Z"/>
        <d v="2011-06-26T00:00:00Z"/>
        <d v="2011-06-30T00:00:00Z"/>
        <d v="2011-07-03T00:00:00Z"/>
        <d v="2011-07-14T00:00:00Z"/>
        <d v="2011-07-15T00:00:00Z"/>
        <d v="2011-07-16T00:00:00Z"/>
        <d v="2011-07-17T00:00:00Z"/>
        <d v="2011-07-21T00:00:00Z"/>
        <d v="2011-07-22T00:00:00Z"/>
        <d v="2011-07-29T00:00:00Z"/>
        <d v="2011-07-30T00:00:00Z"/>
        <d v="2011-07-31T00:00:00Z"/>
        <d v="2011-08-06T00:00:00Z"/>
        <d v="2011-08-07T00:00:00Z"/>
        <d v="2011-08-11T00:00:00Z"/>
        <d v="2011-08-12T00:00:00Z"/>
        <d v="2011-08-18T00:00:00Z"/>
        <d v="2011-08-19T00:00:00Z"/>
        <d v="2011-08-21T00:00:00Z"/>
        <d v="2011-08-25T00:00:00Z"/>
        <d v="2011-08-26T00:00:00Z"/>
        <d v="2011-08-27T00:00:00Z"/>
        <d v="2011-08-28T00:00:00Z"/>
        <d v="2011-09-01T00:00:00Z"/>
        <d v="2011-09-02T00:00:00Z"/>
        <d v="2011-09-03T00:00:00Z"/>
        <d v="2011-09-04T00:00:00Z"/>
        <d v="2011-09-05T00:00:00Z"/>
        <d v="2011-09-08T00:00:00Z"/>
        <d v="2011-09-09T00:00:00Z"/>
        <d v="2011-09-11T00:00:00Z"/>
        <d v="2011-09-15T00:00:00Z"/>
        <d v="2011-09-16T00:00:00Z"/>
        <d v="2011-09-17T00:00:00Z"/>
        <d v="2011-09-18T00:00:00Z"/>
        <d v="2011-09-19T00:00:00Z"/>
        <d v="2011-09-22T00:00:00Z"/>
        <d v="2011-09-23T00:00:00Z"/>
        <d v="2011-09-25T00:00:00Z"/>
        <d v="2011-09-26T00:00:00Z"/>
        <d v="2011-09-29T00:00:00Z"/>
        <d v="2011-09-30T00:00:00Z"/>
        <d v="2011-10-01T00:00:00Z"/>
        <d v="2011-10-02T00:00:00Z"/>
        <d v="2011-10-06T00:00:00Z"/>
        <d v="2011-10-07T00:00:00Z"/>
        <d v="2011-10-09T00:00:00Z"/>
        <d v="2011-10-14T00:00:00Z"/>
        <d v="2011-10-15T00:00:00Z"/>
        <d v="2011-10-16T00:00:00Z"/>
        <d v="2011-10-20T00:00:00Z"/>
        <d v="2011-10-21T00:00:00Z"/>
        <d v="2011-10-22T00:00:00Z"/>
        <d v="2011-10-23T00:00:00Z"/>
        <d v="2011-10-28T00:00:00Z"/>
        <d v="2011-10-29T00:00:00Z"/>
        <d v="2011-11-03T00:00:00Z"/>
        <d v="2011-11-05T00:00:00Z"/>
        <d v="2011-11-06T00:00:00Z"/>
        <d v="2011-11-10T00:00:00Z"/>
        <d v="2011-11-12T00:00:00Z"/>
        <d v="2011-11-13T00:00:00Z"/>
        <d v="2011-11-17T00:00:00Z"/>
        <d v="2011-11-18T00:00:00Z"/>
        <d v="2011-11-19T00:00:00Z"/>
        <d v="2011-11-20T00:00:00Z"/>
        <d v="2011-11-24T00:00:00Z"/>
        <d v="2011-11-25T00:00:00Z"/>
        <d v="2011-11-26T00:00:00Z"/>
        <d v="2011-11-27T00:00:00Z"/>
        <d v="2011-12-01T00:00:00Z"/>
        <d v="2011-12-02T00:00:00Z"/>
        <d v="2011-12-08T00:00:00Z"/>
        <d v="2011-12-09T00:00:00Z"/>
        <d v="2011-12-10T00:00:00Z"/>
        <d v="2011-12-11T00:00:00Z"/>
        <d v="2011-12-15T00:00:00Z"/>
        <d v="2011-12-16T00:00:00Z"/>
        <d v="2011-12-18T00:00:00Z"/>
        <d v="2011-12-22T00:00:00Z"/>
        <d v="2011-12-23T00:00:00Z"/>
        <d v="2011-12-29T00:00:00Z"/>
        <d v="2011-12-30T00:00:00Z"/>
        <d v="2011-12-31T00:00:00Z"/>
        <d v="2012-01-05T00:00:00Z"/>
        <d v="2012-01-06T00:00:00Z"/>
        <d v="2012-01-07T00:00:00Z"/>
        <d v="2012-01-08T00:00:00Z"/>
        <d v="2012-01-12T00:00:00Z"/>
        <d v="2012-01-13T00:00:00Z"/>
        <d v="2012-01-14T00:00:00Z"/>
        <d v="2012-01-15T00:00:00Z"/>
        <d v="2012-01-19T00:00:00Z"/>
        <d v="2012-01-20T00:00:00Z"/>
        <d v="2012-01-21T00:00:00Z"/>
        <d v="2012-01-22T00:00:00Z"/>
        <d v="2012-01-26T00:00:00Z"/>
        <d v="2012-01-29T00:00:00Z"/>
        <d v="2012-02-02T00:00:00Z"/>
        <d v="2012-02-03T00:00:00Z"/>
        <d v="2012-02-04T00:00:00Z"/>
        <d v="2012-02-09T00:00:00Z"/>
        <d v="2012-02-11T00:00:00Z"/>
        <d v="2012-02-16T00:00:00Z"/>
        <d v="2012-02-17T00:00:00Z"/>
        <d v="2012-02-18T00:00:00Z"/>
        <d v="2012-02-19T00:00:00Z"/>
        <d v="2012-02-23T00:00:00Z"/>
        <d v="2012-02-24T00:00:00Z"/>
        <d v="2012-02-25T00:00:00Z"/>
        <d v="2012-02-26T00:00:00Z"/>
        <d v="2012-03-01T00:00:00Z"/>
        <d v="2012-03-02T00:00:00Z"/>
        <d v="2012-03-03T00:00:00Z"/>
        <d v="2012-03-04T00:00:00Z"/>
        <d v="2012-03-05T00:00:00Z"/>
        <d v="2012-03-08T00:00:00Z"/>
        <d v="2012-03-09T00:00:00Z"/>
        <d v="2012-03-10T00:00:00Z"/>
        <d v="2012-03-11T00:00:00Z"/>
        <d v="2012-03-15T00:00:00Z"/>
        <d v="2012-03-16T00:00:00Z"/>
        <d v="2012-03-17T00:00:00Z"/>
        <d v="2012-03-18T00:00:00Z"/>
        <d v="2012-03-22T00:00:00Z"/>
        <d v="2012-03-23T00:00:00Z"/>
        <d v="2012-03-24T00:00:00Z"/>
        <d v="2012-03-25T00:00:00Z"/>
        <d v="2012-03-26T00:00:00Z"/>
        <d v="2012-03-29T00:00:00Z"/>
        <d v="2012-03-30T00:00:00Z"/>
        <d v="2012-03-31T00:00:00Z"/>
        <d v="2012-04-01T00:00:00Z"/>
        <d v="2012-04-05T00:00:00Z"/>
        <d v="2012-04-06T00:00:00Z"/>
        <d v="2012-04-07T00:00:00Z"/>
        <d v="2012-04-08T00:00:00Z"/>
        <d v="2012-04-09T00:00:00Z"/>
        <d v="2012-04-13T00:00:00Z"/>
        <d v="2012-04-14T00:00:00Z"/>
        <d v="2012-04-15T00:00:00Z"/>
        <d v="2012-04-21T00:00:00Z"/>
        <d v="2012-04-22T00:00:00Z"/>
        <d v="2012-04-23T00:00:00Z"/>
        <d v="2012-04-26T00:00:00Z"/>
        <d v="2012-04-27T00:00:00Z"/>
        <d v="2012-04-28T00:00:00Z"/>
        <d v="2012-04-29T00:00:00Z"/>
        <d v="2012-05-03T00:00:00Z"/>
        <d v="2012-05-04T00:00:00Z"/>
        <d v="2012-05-05T00:00:00Z"/>
        <d v="2012-05-06T00:00:00Z"/>
        <d v="2012-05-07T00:00:00Z"/>
        <d v="2012-05-10T00:00:00Z"/>
        <d v="2012-05-11T00:00:00Z"/>
        <d v="2012-05-12T00:00:00Z"/>
        <d v="2012-05-13T00:00:00Z"/>
        <d v="2012-05-18T00:00:00Z"/>
        <d v="2012-05-19T00:00:00Z"/>
        <d v="2012-05-20T00:00:00Z"/>
        <d v="2012-05-25T00:00:00Z"/>
        <d v="2012-05-26T00:00:00Z"/>
        <d v="2012-05-27T00:00:00Z"/>
        <d v="2012-05-28T00:00:00Z"/>
        <d v="2012-06-01T00:00:00Z"/>
        <d v="2012-06-02T00:00:00Z"/>
        <d v="2012-06-03T00:00:00Z"/>
        <d v="2012-06-07T00:00:00Z"/>
        <d v="2012-06-08T00:00:00Z"/>
        <d v="2012-06-09T00:00:00Z"/>
        <d v="2012-06-10T00:00:00Z"/>
        <d v="2012-06-11T00:00:00Z"/>
        <d v="2012-06-17T00:00:00Z"/>
        <d v="2012-06-18T00:00:00Z"/>
        <d v="2012-06-23T00:00:00Z"/>
        <d v="2012-06-24T00:00:00Z"/>
        <d v="2012-06-30T00:00:00Z"/>
        <d v="2012-07-01T00:00:00Z"/>
        <d v="2012-07-08T00:00:00Z"/>
        <d v="2012-07-09T00:00:00Z"/>
        <d v="2012-07-14T00:00:00Z"/>
        <d v="2012-07-15T00:00:00Z"/>
        <d v="2012-07-16T00:00:00Z"/>
        <d v="2012-07-22T00:00:00Z"/>
        <d v="2012-07-23T00:00:00Z"/>
        <d v="2012-07-28T00:00:00Z"/>
        <d v="2012-07-29T00:00:00Z"/>
        <d v="2012-07-30T00:00:00Z"/>
        <d v="2012-08-04T00:00:00Z"/>
        <d v="2012-08-05T00:00:00Z"/>
        <d v="2012-08-06T00:00:00Z"/>
        <d v="2012-08-11T00:00:00Z"/>
        <d v="2012-08-12T00:00:00Z"/>
        <d v="2012-08-13T00:00:00Z"/>
        <d v="2012-08-18T00:00:00Z"/>
        <d v="2012-08-19T00:00:00Z"/>
        <d v="2012-08-20T00:00:00Z"/>
        <d v="2012-08-25T00:00:00Z"/>
        <d v="2012-08-26T00:00:00Z"/>
        <d v="2012-08-27T00:00:00Z"/>
        <d v="2012-09-01T00:00:00Z"/>
        <d v="2012-09-02T00:00:00Z"/>
        <d v="2012-09-03T00:00:00Z"/>
        <d v="2012-09-09T00:00:00Z"/>
        <d v="2012-09-15T00:00:00Z"/>
        <d v="2012-09-16T00:00:00Z"/>
        <d v="2012-09-17T00:00:00Z"/>
        <d v="2012-09-22T00:00:00Z"/>
        <d v="2012-09-23T00:00:00Z"/>
        <d v="2012-09-24T00:00:00Z"/>
        <d v="2012-09-29T00:00:00Z"/>
        <d v="2012-09-30T00:00:00Z"/>
        <d v="2012-10-01T00:00:00Z"/>
        <d v="2012-10-06T00:00:00Z"/>
        <d v="2012-10-07T00:00:00Z"/>
        <d v="2012-10-08T00:00:00Z"/>
        <d v="2012-10-13T00:00:00Z"/>
        <d v="2012-10-14T00:00:00Z"/>
        <d v="2012-10-15T00:00:00Z"/>
        <d v="2012-10-20T00:00:00Z"/>
        <d v="2012-10-21T00:00:00Z"/>
        <d v="2012-10-22T00:00:00Z"/>
        <d v="2012-10-27T00:00:00Z"/>
        <d v="2012-10-28T00:00:00Z"/>
        <d v="2012-11-03T00:00:00Z"/>
        <d v="2012-11-04T00:00:00Z"/>
        <d v="2012-11-10T00:00:00Z"/>
        <d v="2012-11-11T00:00:00Z"/>
        <d v="2012-11-12T00:00:00Z"/>
        <d v="2012-11-18T00:00:00Z"/>
        <d v="2012-11-19T00:00:00Z"/>
        <d v="2012-11-24T00:00:00Z"/>
        <d v="2012-11-25T00:00:00Z"/>
        <d v="2012-11-26T00:00:00Z"/>
        <d v="2012-12-01T00:00:00Z"/>
        <d v="2012-12-02T00:00:00Z"/>
        <d v="2012-12-03T00:00:00Z"/>
        <d v="2012-12-09T00:00:00Z"/>
        <d v="2012-12-10T00:00:00Z"/>
        <d v="2012-12-15T00:00:00Z"/>
        <d v="2012-12-16T00:00:00Z"/>
        <d v="2012-12-17T00:00:00Z"/>
        <d v="2012-12-22T00:00:00Z"/>
        <d v="2012-12-23T00:00:00Z"/>
        <d v="2012-12-24T00:00:00Z"/>
        <d v="2012-12-30T00:00:00Z"/>
        <d v="2012-12-31T00:00:00Z"/>
        <d v="2013-01-06T00:00:00Z"/>
        <d v="2013-01-07T00:00:00Z"/>
        <d v="2013-01-13T00:00:00Z"/>
        <d v="2013-01-14T00:00:00Z"/>
        <d v="2013-01-20T00:00:00Z"/>
        <d v="2013-01-27T00:00:00Z"/>
        <d v="2013-01-28T00:00:00Z"/>
        <d v="2013-02-03T00:00:00Z"/>
        <d v="2013-02-04T00:00:00Z"/>
        <d v="2013-02-10T00:00:00Z"/>
        <d v="2013-02-11T00:00:00Z"/>
        <d v="2013-02-17T00:00:00Z"/>
        <d v="2013-02-18T00:00:00Z"/>
        <d v="2013-02-24T00:00:00Z"/>
        <d v="2013-02-25T00:00:00Z"/>
        <d v="2013-03-03T00:00:00Z"/>
        <d v="2013-03-04T00:00:00Z"/>
        <d v="2013-03-10T00:00:00Z"/>
        <d v="2013-03-17T00:00:00Z"/>
        <d v="2013-03-18T00:00:00Z"/>
        <d v="2013-03-24T00:00:00Z"/>
        <d v="2013-03-25T00:00:00Z"/>
        <d v="2013-03-31T00:00:00Z"/>
        <d v="2013-04-01T00:00:00Z"/>
        <d v="2013-04-07T00:00:00Z"/>
        <d v="2013-04-08T00:00:00Z"/>
        <d v="2013-04-14T00:00:00Z"/>
        <d v="2013-04-15T00:00:00Z"/>
        <d v="2013-04-21T00:00:00Z"/>
        <d v="2013-04-22T00:00:00Z"/>
        <d v="2013-04-28T00:00:00Z"/>
        <d v="2013-04-29T00:00:00Z"/>
        <d v="2013-05-05T00:00:00Z"/>
        <d v="2013-05-06T00:00:00Z"/>
        <d v="2013-05-12T00:00:00Z"/>
        <d v="2013-05-13T00:00:00Z"/>
        <d v="2013-05-19T00:00:00Z"/>
        <d v="2013-05-20T00:00:00Z"/>
        <d v="2013-05-26T00:00:00Z"/>
        <d v="2013-05-27T00:00:00Z"/>
        <d v="2013-06-02T00:00:00Z"/>
        <d v="2013-06-03T00:00:00Z"/>
        <d v="2013-06-09T00:00:00Z"/>
        <d v="2013-06-10T00:00:00Z"/>
        <d v="2013-06-16T00:00:00Z"/>
        <d v="2013-06-17T00:00:00Z"/>
        <d v="2013-06-23T00:00:00Z"/>
        <d v="2013-06-24T00:00:00Z"/>
        <d v="2013-06-30T00:00:00Z"/>
        <d v="2013-07-01T00:00:00Z"/>
        <d v="2013-07-07T00:00:00Z"/>
        <d v="2013-07-08T00:00:00Z"/>
        <d v="2013-07-14T00:00:00Z"/>
        <d v="2013-07-15T00:00:00Z"/>
        <d v="2013-07-21T00:00:00Z"/>
        <d v="2013-07-22T00:00:00Z"/>
        <d v="2013-07-28T00:00:00Z"/>
        <d v="2013-07-29T00:00:00Z"/>
        <d v="2013-08-04T00:00:00Z"/>
        <d v="2013-08-05T00:00:00Z"/>
        <d v="2013-08-11T00:00:00Z"/>
        <d v="2013-08-12T00:00:00Z"/>
        <d v="2013-08-18T00:00:00Z"/>
        <d v="2013-08-19T00:00:00Z"/>
        <d v="2013-08-25T00:00:00Z"/>
        <d v="2013-08-26T00:00:00Z"/>
        <d v="2013-09-01T00:00:00Z"/>
        <d v="2013-09-02T00:00:00Z"/>
        <d v="2013-09-08T00:00:00Z"/>
        <d v="2013-09-09T00:00:00Z"/>
        <d v="2013-09-15T00:00:00Z"/>
        <d v="2013-09-16T00:00:00Z"/>
        <d v="2013-09-22T00:00:00Z"/>
        <d v="2013-09-23T00:00:00Z"/>
        <d v="2013-09-29T00:00:00Z"/>
        <d v="2013-09-30T00:00:00Z"/>
        <d v="2013-10-06T00:00:00Z"/>
        <d v="2013-10-07T00:00:00Z"/>
        <d v="2013-10-13T00:00:00Z"/>
        <d v="2013-10-14T00:00:00Z"/>
        <d v="2013-10-20T00:00:00Z"/>
        <d v="2013-10-21T00:00:00Z"/>
        <d v="2013-10-27T00:00:00Z"/>
        <d v="2013-10-28T00:00:00Z"/>
        <d v="2013-11-03T00:00:00Z"/>
        <d v="2013-11-04T00:00:00Z"/>
        <d v="2013-11-10T00:00:00Z"/>
        <d v="2013-11-11T00:00:00Z"/>
        <d v="2013-11-17T00:00:00Z"/>
        <d v="2013-11-18T00:00:00Z"/>
        <d v="2013-11-24T00:00:00Z"/>
        <d v="2013-11-25T00:00:00Z"/>
        <d v="2013-12-01T00:00:00Z"/>
        <d v="2013-12-02T00:00:00Z"/>
        <d v="2013-12-08T00:00:00Z"/>
        <d v="2013-12-09T00:00:00Z"/>
        <d v="2013-12-15T00:00:00Z"/>
        <d v="2013-12-16T00:00:00Z"/>
        <d v="2013-12-22T00:00:00Z"/>
        <d v="2013-12-23T00:00:00Z"/>
        <d v="2013-12-29T00:00:00Z"/>
        <d v="2013-12-30T00:00:00Z"/>
        <d v="2014-01-05T00:00:00Z"/>
        <d v="2014-01-06T00:00:00Z"/>
        <d v="2014-01-12T00:00:00Z"/>
        <d v="2014-01-13T00:00:00Z"/>
        <d v="2014-01-19T00:00:00Z"/>
        <d v="2014-01-20T00:00:00Z"/>
        <d v="2014-01-26T00:00:00Z"/>
        <d v="2014-01-27T00:00:00Z"/>
        <d v="2014-02-02T00:00:00Z"/>
        <d v="2014-02-03T00:00:00Z"/>
        <d v="2014-02-09T00:00:00Z"/>
        <d v="2014-02-10T00:00:00Z"/>
        <d v="2014-02-16T00:00:00Z"/>
        <d v="2014-02-17T00:00:00Z"/>
        <d v="2014-02-23T00:00:00Z"/>
        <d v="2014-02-24T00:00:00Z"/>
        <d v="2014-03-02T00:00:00Z"/>
        <d v="2014-03-03T00:00:00Z"/>
        <d v="2014-03-09T00:00:00Z"/>
        <d v="2014-03-10T00:00:00Z"/>
        <d v="2014-03-16T00:00:00Z"/>
        <d v="2014-03-17T00:00:00Z"/>
        <d v="2014-03-23T00:00:00Z"/>
        <d v="2014-03-24T00:00:00Z"/>
        <d v="2014-03-30T00:00:00Z"/>
        <d v="2014-03-31T00:00:00Z"/>
        <d v="2014-04-06T00:00:00Z"/>
        <d v="2014-04-07T00:00:00Z"/>
        <d v="2014-04-13T00:00:00Z"/>
        <d v="2014-04-14T00:00:00Z"/>
        <d v="2014-04-20T00:00:00Z"/>
        <d v="2014-04-21T00:00:00Z"/>
        <d v="2014-04-28T00:00:00Z"/>
        <d v="2014-05-04T00:00:00Z"/>
        <d v="2014-05-05T00:00:00Z"/>
        <d v="2014-05-11T00:00:00Z"/>
        <d v="2014-05-12T00:00:00Z"/>
        <d v="2014-05-18T00:00:00Z"/>
        <d v="2014-05-19T00:00:00Z"/>
        <d v="2014-05-25T00:00:00Z"/>
        <d v="2014-05-26T00:00:00Z"/>
        <d v="2014-06-01T00:00:00Z"/>
        <d v="2014-06-02T00:00:00Z"/>
        <d v="2014-06-08T00:00:00Z"/>
        <d v="2014-06-09T00:00:00Z"/>
        <d v="2014-06-15T00:00:00Z"/>
        <d v="2014-06-16T00:00:00Z"/>
        <d v="2014-06-22T00:00:00Z"/>
        <d v="2014-06-23T00:00:00Z"/>
        <d v="2014-06-29T00:00:00Z"/>
        <d v="2014-06-30T00:00:00Z"/>
        <d v="2014-07-06T00:00:00Z"/>
        <d v="2014-07-07T00:00:00Z"/>
        <d v="2014-07-13T00:00:00Z"/>
        <d v="2014-07-14T00:00:00Z"/>
        <d v="2014-07-21T00:00:00Z"/>
        <d v="2014-07-28T00:00:00Z"/>
        <d v="2014-08-04T00:00:00Z"/>
        <d v="2014-08-11T00:00:00Z"/>
        <d v="2014-08-17T00:00:00Z"/>
        <d v="2014-08-18T00:00:00Z"/>
        <d v="2014-08-24T00:00:00Z"/>
        <d v="2014-08-25T00:00:00Z"/>
        <d v="2014-08-31T00:00:00Z"/>
        <d v="2014-09-01T00:00:00Z"/>
        <d v="2014-09-07T00:00:00Z"/>
        <d v="2014-09-08T00:00:00Z"/>
        <d v="2014-09-14T00:00:00Z"/>
        <d v="2014-09-15T00:00:00Z"/>
        <d v="2014-09-21T00:00:00Z"/>
        <d v="2014-09-22T00:00:00Z"/>
        <d v="2014-09-28T00:00:00Z"/>
        <d v="2014-09-29T00:00:00Z"/>
        <d v="2014-10-05T00:00:00Z"/>
        <d v="2014-10-06T00:00:00Z"/>
        <d v="2014-10-12T00:00:00Z"/>
        <d v="2014-10-13T00:00:00Z"/>
        <d v="2014-10-19T00:00:00Z"/>
        <d v="2014-10-20T00:00:00Z"/>
        <d v="2014-10-26T00:00:00Z"/>
        <d v="2014-10-27T00:00:00Z"/>
        <d v="2014-11-02T00:00:00Z"/>
        <d v="2014-11-03T00:00:00Z"/>
        <d v="2014-11-09T00:00:00Z"/>
        <d v="2014-11-10T00:00:00Z"/>
        <d v="2014-11-16T00:00:00Z"/>
        <d v="2014-11-17T00:00:00Z"/>
        <d v="2014-11-23T00:00:00Z"/>
        <d v="2014-11-24T00:00:00Z"/>
        <d v="2014-11-30T00:00:00Z"/>
        <d v="2014-12-01T00:00:00Z"/>
        <d v="2014-12-07T00:00:00Z"/>
        <d v="2014-12-08T00:00:00Z"/>
        <d v="2014-12-14T00:00:00Z"/>
        <d v="2014-12-15T00:00:00Z"/>
        <d v="2014-12-21T00:00:00Z"/>
        <d v="2014-12-22T00:00:00Z"/>
        <d v="2014-12-28T00:00:00Z"/>
        <d v="2014-12-29T00:00:00Z"/>
        <d v="2015-01-04T00:00:00Z"/>
        <d v="2015-01-05T00:00:00Z"/>
        <d v="2015-01-11T00:00:00Z"/>
        <d v="2015-01-12T00:00:00Z"/>
        <d v="2015-01-18T00:00:00Z"/>
        <d v="2015-01-19T00:00:00Z"/>
        <d v="2015-01-25T00:00:00Z"/>
        <d v="2015-01-26T00:00:00Z"/>
        <d v="2015-02-01T00:00:00Z"/>
        <d v="2015-02-02T00:00:00Z"/>
        <d v="2015-02-08T00:00:00Z"/>
        <d v="2015-02-09T00:00:00Z"/>
        <d v="2015-02-15T00:00:00Z"/>
        <d v="2015-02-16T00:00:00Z"/>
        <d v="2015-02-22T00:00:00Z"/>
        <d v="2015-02-23T00:00:00Z"/>
        <d v="2015-03-01T00:00:00Z"/>
        <d v="2015-03-02T00:00:00Z"/>
        <d v="2015-03-08T00:00:00Z"/>
        <d v="2015-03-09T00:00:00Z"/>
        <d v="2015-03-16T00:00:00Z"/>
        <d v="2015-03-22T00:00:00Z"/>
        <d v="2015-03-23T00:00:00Z"/>
        <d v="2015-03-29T00:00:00Z"/>
        <d v="2015-03-30T00:00:00Z"/>
        <d v="2015-04-06T00:00:00Z"/>
        <d v="2015-04-13T00:00:00Z"/>
        <d v="2015-04-19T00:00:00Z"/>
        <d v="2015-04-20T00:00:00Z"/>
        <d v="2015-04-26T00:00:00Z"/>
        <d v="2015-04-27T00:00:00Z"/>
        <d v="2015-05-03T00:00:00Z"/>
        <d v="2015-05-04T00:00:00Z"/>
        <d v="2015-05-11T00:00:00Z"/>
        <d v="2015-05-18T00:00:00Z"/>
        <d v="2015-05-24T00:00:00Z"/>
        <d v="2015-05-25T00:00:00Z"/>
        <d v="2015-06-01T00:00:00Z"/>
        <d v="2015-06-08T00:00:00Z"/>
        <d v="2015-06-15T00:00:00Z"/>
        <d v="2015-06-22T00:00:00Z"/>
        <d v="2015-06-29T00:00:00Z"/>
        <d v="2015-07-06T00:00:00Z"/>
        <d v="2015-07-13T00:00:00Z"/>
        <d v="2015-07-20T00:00:00Z"/>
        <d v="2015-07-26T00:00:00Z"/>
        <d v="2015-07-27T00:00:00Z"/>
        <d v="2015-08-03T00:00:00Z"/>
        <d v="2015-08-10T00:00:00Z"/>
        <d v="2015-08-17T00:00:00Z"/>
        <d v="2015-08-24T00:00:00Z"/>
        <d v="2015-08-30T00:00:00Z"/>
        <d v="2015-08-31T00:00:00Z"/>
        <d v="2015-09-07T00:00:00Z"/>
        <d v="2015-09-14T00:00:00Z"/>
        <d v="2015-09-20T00:00:00Z"/>
        <d v="2015-09-21T00:00:00Z"/>
        <d v="2015-09-28T00:00:00Z"/>
        <d v="2015-10-05T00:00:00Z"/>
        <d v="2015-10-12T00:00:00Z"/>
        <d v="2015-10-19T00:00:00Z"/>
        <d v="2015-10-25T00:00:00Z"/>
        <d v="2015-10-26T00:00:00Z"/>
        <d v="2015-11-01T00:00:00Z"/>
        <d v="2015-11-02T00:00:00Z"/>
        <d v="2015-11-08T00:00:00Z"/>
        <d v="2015-11-09T00:00:00Z"/>
        <d v="2015-11-15T00:00:00Z"/>
        <d v="2015-11-16T00:00:00Z"/>
        <d v="2015-11-22T00:00:00Z"/>
        <d v="2015-11-23T00:00:00Z"/>
        <d v="2015-11-29T00:00:00Z"/>
        <d v="2015-11-30T00:00:00Z"/>
        <d v="2015-12-06T00:00:00Z"/>
        <d v="2015-12-07T00:00:00Z"/>
        <d v="2015-12-13T00:00:00Z"/>
        <d v="2015-12-14T00:00:00Z"/>
        <d v="2015-12-20T00:00:00Z"/>
        <d v="2015-12-21T00:00:00Z"/>
        <d v="2015-12-27T00:00:00Z"/>
        <d v="2015-12-28T00:00:00Z"/>
        <d v="2016-01-03T00:00:00Z"/>
        <d v="2016-01-04T00:00:00Z"/>
        <d v="2016-01-10T00:00:00Z"/>
        <d v="2016-01-11T00:00:00Z"/>
        <d v="2016-01-17T00:00:00Z"/>
        <d v="2016-01-18T00:00:00Z"/>
        <d v="2016-01-24T00:00:00Z"/>
        <d v="2016-01-25T00:00:00Z"/>
        <d v="2016-01-31T00:00:00Z"/>
        <d v="2016-02-01T00:00:00Z"/>
        <d v="2016-02-07T00:00:00Z"/>
        <d v="2016-02-08T00:00:00Z"/>
        <d v="2016-02-14T00:00:00Z"/>
        <d v="2016-02-15T00:00:00Z"/>
        <d v="2016-02-21T00:00:00Z"/>
        <d v="2016-02-22T00:00:00Z"/>
        <d v="2016-02-28T00:00:00Z"/>
        <d v="2016-02-29T00:00:00Z"/>
        <d v="2016-03-06T00:00:00Z"/>
        <d v="2016-03-07T00:00:00Z"/>
        <d v="2016-03-13T00:00:00Z"/>
        <d v="2016-03-14T00:00:00Z"/>
        <d v="2016-03-20T00:00:00Z"/>
        <d v="2016-03-21T00:00:00Z"/>
        <d v="2016-03-27T00:00:00Z"/>
        <d v="2016-03-28T00:00:00Z"/>
        <d v="2016-04-03T00:00:00Z"/>
        <d v="2016-04-04T00:00:00Z"/>
        <d v="2016-04-10T00:00:00Z"/>
        <d v="2016-04-11T00:00:00Z"/>
        <d v="2016-04-18T00:00:00Z"/>
        <d v="2016-04-25T00:00:00Z"/>
        <d v="2016-05-01T00:00:00Z"/>
        <d v="2016-05-02T00:00:00Z"/>
        <d v="2016-05-09T00:00:00Z"/>
        <d v="2016-05-15T00:00:00Z"/>
        <d v="2016-05-16T00:00:00Z"/>
        <d v="2016-05-22T00:00:00Z"/>
        <d v="2016-05-23T00:00:00Z"/>
        <d v="2016-05-29T00:00:00Z"/>
        <d v="2016-05-30T00:00:00Z"/>
        <d v="2016-06-05T00:00:00Z"/>
        <d v="2016-06-06T00:00:00Z"/>
        <d v="2016-06-13T00:00:00Z"/>
        <d v="2016-06-19T00:00:00Z"/>
        <d v="2016-06-20T00:00:00Z"/>
        <d v="2016-06-27T00:00:00Z"/>
        <d v="2016-07-04T00:00:00Z"/>
        <d v="2016-07-11T00:00:00Z"/>
        <d v="2016-07-18T00:00:00Z"/>
        <d v="2016-07-24T00:00:00Z"/>
        <d v="2016-07-25T00:00:00Z"/>
        <d v="2016-07-31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0T00:00:00Z"/>
        <d v="2016-10-31T00:00:00Z"/>
        <d v="2016-11-06T00:00:00Z"/>
        <d v="2016-11-07T00:00:00Z"/>
        <d v="2016-11-11T00:00:00Z"/>
        <d v="2016-11-13T00:00:00Z"/>
        <d v="2016-11-14T00:00:00Z"/>
        <d v="2016-11-20T00:00:00Z"/>
        <d v="2016-11-21T00:00:00Z"/>
        <d v="2016-11-27T00:00:00Z"/>
        <d v="2016-11-28T00:00:00Z"/>
        <d v="2016-12-04T00:00:00Z"/>
        <d v="2016-12-05T00:00:00Z"/>
        <d v="2016-12-11T00:00:00Z"/>
        <d v="2016-12-12T00:00:00Z"/>
        <d v="2016-12-18T00:00:00Z"/>
        <d v="2016-12-19T00:00:00Z"/>
        <d v="2016-12-25T00:00:00Z"/>
        <d v="2016-12-26T00:00:00Z"/>
        <d v="2017-01-01T00:00:00Z"/>
        <d v="2017-01-02T00:00:00Z"/>
        <d v="2017-01-08T00:00:00Z"/>
        <d v="2017-01-09T00:00:00Z"/>
        <d v="2017-01-15T00:00:00Z"/>
        <d v="2017-01-16T00:00:00Z"/>
        <d v="2017-01-22T00:00:00Z"/>
        <d v="2017-01-23T00:00:00Z"/>
        <d v="2017-01-29T00:00:00Z"/>
        <d v="2017-01-30T00:00:00Z"/>
        <d v="2017-02-05T00:00:00Z"/>
        <d v="2017-02-06T00:00:00Z"/>
        <d v="2017-02-12T00:00:00Z"/>
        <d v="2017-02-13T00:00:00Z"/>
        <d v="2017-02-20T00:00:00Z"/>
        <d v="2017-02-26T00:00:00Z"/>
        <d v="2017-02-27T00:00:00Z"/>
        <d v="2017-03-05T00:00:00Z"/>
        <d v="2017-03-06T00:00:00Z"/>
        <d v="2017-03-12T00:00:00Z"/>
        <d v="2017-03-13T00:00:00Z"/>
        <d v="2017-03-19T00:00:00Z"/>
        <d v="2017-03-20T00:00:00Z"/>
        <d v="2017-03-26T00:00:00Z"/>
        <d v="2017-03-27T00:00:00Z"/>
        <d v="2017-04-02T00:00:00Z"/>
        <d v="2017-04-03T00:00:00Z"/>
        <d v="2017-04-09T00:00:00Z"/>
        <d v="2017-04-10T00:00:00Z"/>
        <d v="2017-04-17T00:00:00Z"/>
        <d v="2017-04-24T00:00:00Z"/>
        <d v="2017-04-30T00:00:00Z"/>
        <d v="2017-05-01T00:00:00Z"/>
        <d v="2017-05-08T00:00:00Z"/>
        <d v="2017-05-14T00:00:00Z"/>
        <d v="2017-05-15T00:00:00Z"/>
        <d v="2017-05-22T00:00:00Z"/>
        <d v="2017-05-28T00:00:00Z"/>
        <d v="2017-05-29T00:00:00Z"/>
        <d v="2017-06-04T00:00:00Z"/>
        <d v="2017-06-05T00:00:00Z"/>
        <d v="2017-06-12T00:00:00Z"/>
        <d v="2017-06-18T00:00:00Z"/>
        <d v="2017-06-19T00:00:00Z"/>
        <d v="2017-06-25T00:00:00Z"/>
        <d v="2017-06-26T00:00:00Z"/>
        <d v="2017-07-02T00:00:00Z"/>
        <d v="2017-07-03T00:00:00Z"/>
        <d v="2017-07-10T00:00:00Z"/>
        <d v="2017-07-16T00:00:00Z"/>
        <d v="2017-07-17T00:00:00Z"/>
        <d v="2017-07-23T00:00:00Z"/>
        <d v="2017-07-24T00:00:00Z"/>
        <d v="2017-07-30T00:00:00Z"/>
        <d v="2017-07-31T00:00:00Z"/>
        <d v="2017-08-06T00:00:00Z"/>
        <d v="2017-08-07T00:00:00Z"/>
        <d v="2017-08-13T00:00:00Z"/>
      </sharedItems>
    </cacheField>
    <cacheField name="Score" numFmtId="166">
      <sharedItems containsSemiMixedTypes="0" containsString="0" containsNumber="1">
        <n v="0.826972559394"/>
        <n v="0.609631694573"/>
        <n v="0.41489556304"/>
        <n v="0.680448458986"/>
        <n v="0.218625298694"/>
        <n v="0.486184643972"/>
        <n v="0.672956256531"/>
        <n v="0.717367196831"/>
        <n v="0.824184395536"/>
        <n v="0.55885815864"/>
        <n v="0.581744451709"/>
        <n v="0.499449782916"/>
        <n v="0.563406318084"/>
        <n v="0.747897329691"/>
        <n v="0.641727276553"/>
        <n v="0.830757092088"/>
        <n v="0.805357601184"/>
        <n v="0.72970280823"/>
        <n v="0.766089677246"/>
        <n v="0.7404943594"/>
        <n v="0.708673049261"/>
        <n v="0.424672459105"/>
        <n v="0.481480075475"/>
        <n v="0.653275543804"/>
        <n v="0.686241749797"/>
        <n v="0.565604295733"/>
        <n v="0.928256692052"/>
        <n v="0.501086037492"/>
        <n v="0.51578284103"/>
        <n v="0.462628306745"/>
        <n v="0.619235461569"/>
        <n v="0.0512829379667"/>
        <n v="0.886703882921"/>
        <n v="0.813819401429"/>
        <n v="0.539900678817"/>
        <n v="0.885540445178"/>
        <n v="0.643910449736"/>
        <n v="0.798236716024"/>
        <n v="0.73269261964"/>
        <n v="0.51096540554"/>
        <n v="0.721608999391"/>
        <n v="0.710591347294"/>
        <n v="0.651371731656"/>
        <n v="0.837562316421"/>
        <n v="0.724165309374"/>
        <n v="0.687621593593"/>
        <n v="0.449920081061"/>
        <n v="0.686600686958"/>
        <n v="0.75295623212"/>
        <n v="0.626921480391"/>
        <n v="0.450459408981"/>
        <n v="0.852212428571"/>
        <n v="0.42906569996"/>
        <n v="0.861678654675"/>
        <n v="0.726051350521"/>
        <n v="0.68001718576"/>
        <n v="0.718083802229"/>
        <n v="0.732523042361"/>
        <n v="0.0627918020593"/>
        <n v="0.634550134286"/>
        <n v="0.791620983543"/>
        <n v="0.60702049141"/>
        <n v="0.489894662648"/>
        <n v="0.769054313527"/>
        <n v="0.767241633435"/>
        <n v="0.877764284818"/>
        <n v="0.49228115271"/>
        <n v="0.815143410969"/>
        <n v="0.519315704687"/>
        <n v="0.352842955148"/>
        <n v="0.676217675405"/>
        <n v="0.837856422084"/>
        <n v="0.694535618543"/>
        <n v="0.796437701894"/>
        <n v="0.719797513206"/>
        <n v="0.62315280509"/>
        <n v="0.662472826345"/>
        <n v="0.841771865944"/>
        <n v="0.711825436765"/>
        <n v="0.660942193922"/>
        <n v="0.699629212287"/>
        <n v="0.75856784794"/>
        <n v="0.755116281575"/>
        <n v="0.675907946263"/>
        <n v="0.652057489637"/>
        <n v="0.599070601291"/>
        <n v="0.459606765001"/>
        <n v="0.727444293438"/>
        <n v="0.795526157778"/>
        <n v="0.716004770431"/>
        <n v="0.79047534208"/>
        <n v="0.605941829305"/>
        <n v="0.504845594755"/>
        <n v="0.625155175706"/>
        <n v="0.522076533018"/>
        <n v="0.633487642716"/>
        <n v="0.573280355103"/>
        <n v="0.739601106296"/>
        <n v="0.975736075795"/>
        <n v="0.74567124936"/>
        <n v="0.488877968654"/>
        <n v="0.733207518476"/>
        <n v="0.552279587011"/>
        <n v="0.37796542073"/>
        <n v="0.627875851128"/>
        <n v="0.800903128412"/>
        <n v="0.728176213587"/>
        <n v="0.720944421729"/>
        <n v="0.700111915769"/>
        <n v="0.705066320676"/>
        <n v="0.641949274615"/>
        <n v="0.32399810656"/>
        <n v="0.611281532683"/>
        <n v="0.576656911488"/>
        <n v="0.707773812612"/>
        <n v="0.802218081782"/>
        <n v="0.776185410387"/>
        <n v="0.700590159489"/>
        <n v="0.644565777043"/>
        <n v="0.51586582029"/>
        <n v="0.494798000919"/>
        <n v="0.760025772538"/>
        <n v="0.624383398363"/>
        <n v="0.562029379099"/>
        <n v="0.728673258866"/>
        <n v="0.805624445011"/>
        <n v="0.736064709331"/>
        <n v="0.424387583162"/>
        <n v="0.688567567271"/>
        <n v="0.661498601843"/>
        <n v="0.709925833243"/>
        <n v="0.568792913481"/>
        <n v="0.683867957504"/>
        <n v="0.718179333312"/>
        <n v="0.782893521453"/>
        <n v="0.927199917311"/>
        <n v="0.761929794398"/>
        <n v="0.672874947266"/>
        <n v="0.856473769463"/>
        <n v="0.854749758124"/>
        <n v="0.543023355365"/>
        <n v="0.947471470681"/>
        <n v="0.684971205704"/>
        <n v="0.878411892271"/>
        <n v="0.777599282156"/>
        <n v="0.754341974097"/>
        <n v="0.666538005422"/>
        <n v="0.895011258484"/>
        <n v="0.728527036874"/>
        <n v="0.707126918182"/>
        <n v="0.628820219764"/>
        <n v="0.497247556184"/>
        <n v="0.706798783463"/>
        <n v="0.767464468234"/>
        <n v="0.758303604643"/>
        <n v="0.7148897497"/>
        <n v="0.36218133522"/>
        <n v="0.862057519809"/>
        <n v="0.513003945442"/>
        <n v="0.72645665718"/>
        <n v="0.567109083142"/>
        <n v="0.188020485036"/>
        <n v="0.743477943957"/>
        <n v="0.611120498299"/>
        <n v="0.817477577076"/>
        <n v="0.747430561152"/>
        <n v="0.851510630999"/>
        <n v="0.708959517343"/>
        <n v="0.742515338655"/>
        <n v="0.703633344863"/>
        <n v="0.758731625593"/>
        <n v="0.630087299562"/>
        <n v="0.820627702893"/>
        <n v="0.667390125245"/>
        <n v="0.830552972283"/>
        <n v="0.644662899287"/>
        <n v="0.578265301079"/>
        <n v="0.736218425251"/>
        <n v="0.663606271797"/>
        <n v="0.700229999996"/>
        <n v="0.695656837648"/>
        <n v="0.512799621124"/>
        <n v="0.706224375036"/>
        <n v="0.673795035613"/>
        <n v="0.722149310768"/>
        <n v="0.739254056501"/>
        <n v="0.798144516183"/>
        <n v="0.680235808077"/>
        <n v="0.546049312786"/>
        <n v="0.783240564355"/>
        <n v="0.53638845695"/>
        <n v="0.756258436034"/>
        <n v="0.698221780252"/>
        <n v="0.649518503649"/>
        <n v="0.387213315737"/>
        <n v="0.612661843201"/>
        <n v="0.646380774978"/>
        <n v="0.726583222174"/>
        <n v="0.863947641802"/>
        <n v="0.826716793632"/>
        <n v="0.761121069412"/>
        <n v="0.832012591304"/>
        <n v="0.681193779619"/>
        <n v="0.664540365461"/>
        <n v="0.742787033522"/>
        <n v="0.633566367418"/>
        <n v="0.73503588256"/>
        <n v="0.739487536454"/>
        <n v="0.629583545123"/>
        <n v="0.603080898677"/>
        <n v="0.877119583866"/>
        <n v="0.772849321891"/>
        <n v="0.871009159708"/>
        <n v="0.704506568223"/>
        <n v="0.677216297873"/>
        <n v="0.67669897332"/>
        <n v="0.641232201537"/>
        <n v="0.735280890345"/>
        <n v="0.783884606933"/>
        <n v="0.427449053446"/>
        <n v="0.520319091123"/>
        <n v="0.712234202802"/>
        <n v="0.675201406721"/>
        <n v="0.801443118544"/>
        <n v="0.706085048247"/>
        <n v="0.732033064676"/>
        <n v="0.879249782756"/>
        <n v="0.730725863285"/>
        <n v="0.70213898108"/>
        <n v="0.684767899607"/>
        <n v="0.685935602647"/>
        <n v="0.716390172142"/>
        <n v="0.757376491774"/>
        <n v="0.683647366412"/>
        <n v="0.781455252529"/>
        <n v="0.525653043512"/>
        <n v="0.662016327351"/>
        <n v="0.645160683546"/>
        <n v="0.71192537702"/>
        <n v="0.596728551211"/>
        <n v="0.735903229727"/>
        <n v="0.66014552379"/>
        <n v="0.614486257656"/>
        <n v="0.613488676364"/>
        <n v="0.720426879371"/>
        <n v="0.759012686282"/>
        <n v="0.665148457589"/>
        <n v="0.773556652064"/>
        <n v="0.719919266113"/>
        <n v="0.0392052382465"/>
        <n v="0.802771050815"/>
        <n v="0.659702913189"/>
        <n v="0.692813658598"/>
        <n v="0.724618168892"/>
        <n v="0.68955822264"/>
        <n v="0.721260983143"/>
        <n v="0.614979480756"/>
        <n v="0.727581316272"/>
        <n v="0.835311537868"/>
        <n v="0.699973309137"/>
        <n v="0.601094799387"/>
        <n v="0.760760621917"/>
        <n v="0.780551469555"/>
        <n v="0.672595977279"/>
        <n v="0.607565586729"/>
        <n v="0.741053647073"/>
        <n v="0.8062989415"/>
        <n v="0.713181129494"/>
        <n v="0.654608554229"/>
        <n v="0.747093978186"/>
        <n v="0.856679538825"/>
        <n v="0.705042924041"/>
        <n v="0.703076733498"/>
        <n v="0.738056481348"/>
        <n v="0.774145074237"/>
        <n v="0.748380006031"/>
        <n v="0.739824869614"/>
        <n v="0.764111931902"/>
        <n v="0.587952272938"/>
        <n v="0.727912822201"/>
        <n v="0.759081629008"/>
        <n v="0.600448548678"/>
        <n v="0.523906660971"/>
        <n v="0.825906182507"/>
        <n v="0.745169218304"/>
        <n v="0.702717594359"/>
        <n v="0.736938564505"/>
        <n v="0.357072738631"/>
        <n v="0.690660166987"/>
        <n v="0.57513223445"/>
        <n v="0.713842046916"/>
        <n v="0.766790333465"/>
        <n v="0.733439771042"/>
        <n v="0.744304916002"/>
        <n v="0.868674230471"/>
        <n v="0.717810472128"/>
        <n v="0.757103489787"/>
        <n v="0.749629335359"/>
        <n v="0.715631865762"/>
        <n v="0.676754803816"/>
        <n v="0.721393714084"/>
        <n v="0.777392309446"/>
        <n v="0.77053849526"/>
        <n v="0.673712222714"/>
        <n v="0.81281779325"/>
        <n v="0.715432804837"/>
        <n v="0.78953943696"/>
        <n v="0.713086875817"/>
        <n v="0.609131082522"/>
        <n v="0.658252031995"/>
        <n v="0.603307829846"/>
        <n v="0.663851442689"/>
        <n v="0.665775168048"/>
        <n v="0.594524191348"/>
        <n v="0.682395014951"/>
        <n v="0.758070372303"/>
        <n v="0.792353152755"/>
        <n v="0.66485549694"/>
        <n v="0.719290311725"/>
        <n v="0.618508217616"/>
        <n v="0.785544387195"/>
        <n v="0.634174180481"/>
        <n v="0.752197497175"/>
        <n v="0.677505188428"/>
        <n v="0.670619165884"/>
        <n v="0.545805231604"/>
        <n v="0.674282054808"/>
        <n v="0.622049287569"/>
        <n v="0.75472556401"/>
        <n v="0.710268993313"/>
        <n v="0.639552946569"/>
        <n v="0.641267736507"/>
        <n v="0.690878749086"/>
        <n v="0.769794815424"/>
        <n v="0.670478930385"/>
        <n v="0.757913262645"/>
        <n v="0.78500782834"/>
        <n v="0.62059440177"/>
        <n v="0.781377781521"/>
        <n v="0.740952216248"/>
        <n v="0.782528158524"/>
        <n v="0.803981639523"/>
        <n v="0.776985197924"/>
        <n v="0.674565477691"/>
        <n v="0.748980056905"/>
        <n v="0.873602224143"/>
        <n v="0.75688226258"/>
        <n v="0.759923041183"/>
        <n v="0.61681867649"/>
        <n v="0.750427863684"/>
        <n v="0.737694917453"/>
        <n v="0.75581828961"/>
        <n v="0.742608807505"/>
        <n v="0.783726985798"/>
        <n v="0.667922304874"/>
        <n v="0.72679668932"/>
        <n v="0.630778813899"/>
        <n v="0.751905282009"/>
        <n v="0.666426218775"/>
        <n v="0.662621317688"/>
        <n v="0.508637368177"/>
        <n v="0.707726428393"/>
        <n v="0.741873557311"/>
        <n v="0.719108820609"/>
        <n v="0.760857100873"/>
        <n v="0.765932926065"/>
        <n v="0.715492836831"/>
        <n v="0.779330710605"/>
        <n v="0.67268491746"/>
        <n v="0.62371768877"/>
        <n v="0.621112426679"/>
        <n v="0.730179344816"/>
        <n v="0.794453140291"/>
        <n v="0.776626439253"/>
        <n v="0.662806047691"/>
        <n v="0.740808711921"/>
        <n v="0.630240855515"/>
        <n v="0.764012803429"/>
        <n v="0.730796369502"/>
        <n v="0.712414778476"/>
        <n v="0.665198139944"/>
        <n v="0.742127740764"/>
        <n v="0.697240755401"/>
        <n v="0.636645286865"/>
        <n v="0.726159571744"/>
        <n v="0.744183615002"/>
        <n v="0.678605803963"/>
        <n v="0.736538466179"/>
        <n v="0.794149468416"/>
        <n v="0.727725554244"/>
        <n v="0.753960037665"/>
        <n v="0.711453235598"/>
        <n v="0.67778344509"/>
        <n v="0.705690705062"/>
        <n v="0.67251744165"/>
        <n v="0.654255880555"/>
        <n v="0.733774301673"/>
        <n v="0.720090422699"/>
        <n v="0.737518778845"/>
        <n v="0.667762256194"/>
        <n v="0.625403419923"/>
        <n v="0.678051282922"/>
        <n v="0.738494931899"/>
        <n v="0.750650607019"/>
        <n v="0.811701741633"/>
        <n v="0.684476522432"/>
        <n v="0.803758317324"/>
        <n v="0.703518643876"/>
        <n v="0.750174001153"/>
        <n v="0.688893390951"/>
        <n v="0.698869237561"/>
        <n v="0.729950190428"/>
        <n v="0.807362252943"/>
        <n v="0.721232472642"/>
        <n v="0.72277391147"/>
        <n v="0.767853736979"/>
        <n v="0.695354232249"/>
        <n v="0.739744801986"/>
        <n v="0.837461532019"/>
        <n v="0.788644999881"/>
        <n v="0.7544601744"/>
        <n v="0.757844268829"/>
        <n v="0.752033186393"/>
        <n v="0.725813976761"/>
        <n v="0.729550543301"/>
        <n v="0.713044442129"/>
        <n v="0.717887380422"/>
        <n v="0.696496761829"/>
        <n v="0.663316060898"/>
        <n v="0.735525146496"/>
        <n v="0.703302073309"/>
        <n v="0.73144965718"/>
        <n v="0.702585630804"/>
        <n v="0.8114099953"/>
        <n v="0.701810674388"/>
        <n v="0.656447939544"/>
        <n v="0.681362245536"/>
        <n v="0.588793372381"/>
        <n v="0.714615001274"/>
        <n v="0.475207297832"/>
        <n v="0.679025066849"/>
        <n v="0.732407212889"/>
        <n v="0.666263047289"/>
        <n v="0.724376787106"/>
        <n v="0.782757363763"/>
        <n v="0.799608837626"/>
        <n v="0.771756687285"/>
        <n v="0.827972977635"/>
        <n v="0.766023208908"/>
        <n v="0.690137351382"/>
        <n v="0.728134387856"/>
        <n v="0.747305913261"/>
        <n v="0.680133223712"/>
        <n v="0.710992862144"/>
        <n v="0.696125099791"/>
        <n v="0.787749425622"/>
        <n v="0.784667401104"/>
        <n v="0.622478816007"/>
        <n v="0.753418899484"/>
        <n v="0.573878696837"/>
        <n v="0.694916683872"/>
        <n v="0.586397998773"/>
        <n v="0.713923041117"/>
        <n v="0.707426146083"/>
        <n v="0.647091025125"/>
        <n v="0.68229758356"/>
        <n v="0.740274793732"/>
        <n v="0.738398680976"/>
        <n v="0.770307663468"/>
        <n v="0.791876464115"/>
        <n v="0.721661512097"/>
        <n v="0.788115888263"/>
        <n v="0.780440111816"/>
        <n v="0.776684450205"/>
        <n v="0.732994925846"/>
        <n v="0.722916471753"/>
        <n v="0.795404415596"/>
        <n v="0.772176427056"/>
        <n v="0.715747798352"/>
        <n v="0.755037226759"/>
        <n v="0.707201423564"/>
        <n v="0.730273690583"/>
        <n v="0.419702444203"/>
        <n v="0.700677799389"/>
        <n v="0.775930778846"/>
        <n v="0.706656516332"/>
        <n v="0.741269255918"/>
        <n v="0.749176026696"/>
        <n v="0.726302785344"/>
        <n v="0.749423613134"/>
        <n v="0.718253062287"/>
        <n v="0.753851653188"/>
        <n v="0.66946979778"/>
        <n v="0.766582989213"/>
        <n v="0.568203912183"/>
        <n v="0.764749440538"/>
        <n v="0.607913112079"/>
        <n v="0.765439621396"/>
        <n v="0.68443631957"/>
        <n v="0.758388933489"/>
        <n v="0.795966849809"/>
        <n v="0.775676880184"/>
        <n v="0.777149581064"/>
        <n v="0.839616409853"/>
        <n v="0.754758920354"/>
        <n v="0.690434450144"/>
        <n v="0.687862240943"/>
        <n v="0.807506074226"/>
        <n v="0.775064167683"/>
        <n v="0.699514328187"/>
        <n v="0.71356393007"/>
        <n v="0.855259623893"/>
        <n v="0.745394429156"/>
        <n v="0.639655208915"/>
        <n v="0.767967439186"/>
        <n v="0.763865757972"/>
        <n v="0.715301752954"/>
        <n v="0.742899604829"/>
        <n v="0.852264281776"/>
        <n v="0.740699418721"/>
        <n v="0.737002439331"/>
        <n v="0.787050810734"/>
        <n v="0.71715527723"/>
        <n v="0.733986830517"/>
        <n v="0.686380562985"/>
        <n v="0.785605459891"/>
        <n v="0.720249691389"/>
        <n v="0.680711690948"/>
        <n v="0.671591202535"/>
        <n v="0.719599933623"/>
        <n v="0.740195689885"/>
        <n v="0.772518680892"/>
        <n v="0.740111099415"/>
        <n v="0.686945565234"/>
        <n v="0.695041166494"/>
        <n v="0.743357224923"/>
        <n v="0.807732725606"/>
        <n v="0.741827097338"/>
        <n v="0.756822954332"/>
        <n v="0.724790491864"/>
        <n v="0.755336000706"/>
        <n v="0.794990767578"/>
        <n v="0.865787167415"/>
        <n v="0.671867455955"/>
        <n v="0.725691023058"/>
        <n v="0.697814047294"/>
        <n v="0.673244039582"/>
        <n v="0.746140822698"/>
        <n v="0.743700101659"/>
        <n v="0.796593957808"/>
        <n v="0.734119893537"/>
        <n v="0.769861940079"/>
        <n v="0.762509204704"/>
        <n v="0.790786654074"/>
        <n v="0.739051614223"/>
        <n v="0.70426952836"/>
        <n v="0.76148027148"/>
        <n v="0.773360196986"/>
        <n v="0.785338970076"/>
        <n v="0.795177455911"/>
        <n v="0.799078519995"/>
        <n v="0.686749251068"/>
        <n v="0.775766274171"/>
        <n v="0.758821671832"/>
        <n v="0.878335876538"/>
        <n v="0.765551839919"/>
        <n v="0.815551683916"/>
        <n v="0.74699919126"/>
        <n v="0.567777699666"/>
        <n v="0.697618272026"/>
        <n v="0.681146014915"/>
        <n v="0.769385493002"/>
        <n v="0.765135037722"/>
        <n v="0.698504179164"/>
        <n v="0.7852414017"/>
        <n v="0.744076014859"/>
        <n v="0.714241490416"/>
        <n v="0.59536236982"/>
        <n v="0.785370065596"/>
        <n v="0.780987568194"/>
        <n v="0.786991056619"/>
        <n v="0.772681724819"/>
        <n v="0.829564845389"/>
        <n v="0.745939602097"/>
        <n v="0.704722107815"/>
        <n v="0.742742521962"/>
        <n v="0.752759583378"/>
        <n v="0.746005475752"/>
        <n v="0.767808937983"/>
        <n v="0.760587582952"/>
        <n v="0.77472151061"/>
        <n v="0.707931687882"/>
        <n v="0.719214488424"/>
        <n v="0.703193985863"/>
        <n v="0.738990989512"/>
        <n v="0.783508491416"/>
        <n v="0.792683147508"/>
        <n v="0.805457011653"/>
        <n v="0.743068528791"/>
        <n v="0.873271032686"/>
        <n v="0.856568606861"/>
        <n v="0.763828218234"/>
        <n v="0.723767018588"/>
        <n v="0.711746127671"/>
        <n v="0.774351823842"/>
        <n v="0.778417302965"/>
        <n v="0.756382060574"/>
        <n v="0.786286803203"/>
        <n v="0.449697723787"/>
        <n v="0.72947636618"/>
        <n v="0.79793752774"/>
        <n v="0.774574086852"/>
        <n v="0.786518517441"/>
        <n v="0.819860438485"/>
        <n v="0.745099645153"/>
        <n v="0.745524011072"/>
        <n v="0.78434700417"/>
        <n v="0.716980046084"/>
        <n v="0.775997591113"/>
        <n v="0.72339927334"/>
        <n v="0.766914176023"/>
        <n v="0.759676576324"/>
      </sharedItems>
    </cacheField>
    <cacheField name="Release Dates" numFmtId="167">
      <sharedItems containsDate="1" containsString="0" containsBlank="1">
        <d v="2010-10-20T00:00:00Z"/>
        <d v="2010-10-27T00:00:00Z"/>
        <d v="2010-11-03T00:00:00Z"/>
        <d v="2010-11-11T00:00:00Z"/>
        <d v="2010-11-19T00:00:00Z"/>
        <d v="2010-11-25T00:00:00Z"/>
        <d v="2010-12-07T00:00:00Z"/>
        <d v="2010-12-11T00:00:00Z"/>
        <d v="2011-01-14T00:00:00Z"/>
        <d v="2011-01-27T00:00:00Z"/>
        <d v="2011-02-09T00:00:00Z"/>
        <d v="2011-03-03T00:00:00Z"/>
        <d v="2011-03-14T00:00:00Z"/>
        <d v="2011-04-01T00:00:00Z"/>
        <d v="2011-04-11T00:00:00Z"/>
        <d v="2011-06-07T00:00:00Z"/>
        <d v="2011-06-30T00:00:00Z"/>
        <d v="2011-07-29T00:00:00Z"/>
        <d v="2011-08-20T00:00:00Z"/>
        <d v="2011-09-02T00:00:00Z"/>
        <d v="2011-09-09T00:00:00Z"/>
        <d v="2011-10-08T00:00:00Z"/>
        <d v="2011-10-14T00:00:00Z"/>
        <d v="2011-10-22T00:00:00Z"/>
        <d v="2011-11-08T00:00:00Z"/>
        <d v="2012-01-17T00:00:00Z"/>
        <d v="2012-03-14T00:00:00Z"/>
        <d v="2012-03-20T00:00:00Z"/>
        <d v="2012-03-29T00:00:00Z"/>
        <d v="2012-04-05T00:00:00Z"/>
        <d v="2012-04-12T00:00:00Z"/>
        <d v="2012-04-20T00:00:00Z"/>
        <d v="2012-04-30T00:00:00Z"/>
        <d v="2012-05-07T00:00:00Z"/>
        <d v="2012-05-15T00:00:00Z"/>
        <d v="2012-05-24T00:00:00Z"/>
        <d v="2012-06-11T00:00:00Z"/>
        <d v="2012-06-12T00:00:00Z"/>
        <d v="2012-06-14T00:00:00Z"/>
        <d v="2012-06-25T00:00:00Z"/>
        <d v="2012-08-31T00:00:00Z"/>
        <d v="2012-11-27T00:00:00Z"/>
        <d v="2013-01-22T00:00:00Z"/>
        <d v="2013-02-20T00:00:00Z"/>
        <d v="2013-04-04T00:00:00Z"/>
        <d v="2013-05-22T00:00:00Z"/>
        <d v="2013-08-22T00:00:00Z"/>
        <d v="2013-01-23T00:00:00Z"/>
        <d v="2013-09-04T00:00:00Z"/>
        <d v="2013-10-14T00:00:00Z"/>
        <d v="2013-08-13T00:00:00Z"/>
        <d v="2013-11-08T00:00:00Z"/>
        <d v="2013-11-15T00:00:00Z"/>
        <d v="2013-11-22T00:00:00Z"/>
        <d v="2013-11-27T00:00:00Z"/>
        <d v="2013-12-06T00:00:00Z"/>
        <d v="2013-12-13T00:00:00Z"/>
        <d v="2013-12-19T00:00:00Z"/>
        <d v="2014-01-03T00:00:00Z"/>
        <d v="2014-01-10T00:00:00Z"/>
        <d v="2014-01-15T00:00:00Z"/>
        <d v="2014-01-24T00:00:00Z"/>
        <d v="2014-02-03T00:00:00Z"/>
        <d v="2014-02-07T00:00:00Z"/>
        <d v="2014-02-15T00:00:00Z"/>
        <d v="2014-03-01T00:00:00Z"/>
        <d v="2014-03-21T00:00:00Z"/>
        <d v="2014-04-03T00:00:00Z"/>
        <d v="2014-06-06T00:00:00Z"/>
        <d v="2014-06-13T00:00:00Z"/>
        <d v="2014-07-01T00:00:00Z"/>
        <d v="2014-07-11T00:00:00Z"/>
        <d v="2014-07-25T00:00:00Z"/>
        <d v="2014-08-12T00:00:00Z"/>
        <d v="2014-08-22T00:00:00Z"/>
        <d v="2014-09-09T00:00:00Z"/>
        <d v="2014-09-16T00:00:00Z"/>
        <d v="2014-10-02T00:00:00Z"/>
        <d v="2014-11-20T00:00:00Z"/>
        <d v="2014-12-15T00:00:00Z"/>
        <d v="2015-09-29T00:00:00Z"/>
        <d v="2016-07-21T00:00:00Z"/>
        <d v="2016-10-11T00:00:00Z"/>
        <d v="2014-03-08T00:00:00Z"/>
        <d v="2014-03-14T00:00:00Z"/>
        <d v="2014-03-28T00:00:00Z"/>
        <d v="2014-04-21T00:00:00Z"/>
        <d v="2014-04-25T00:00:00Z"/>
        <d v="2014-05-09T00:00:00Z"/>
        <d v="2014-05-16T00:00:00Z"/>
        <d v="2014-05-23T00:00:00Z"/>
        <d v="2014-06-16T00:00:00Z"/>
        <d v="2014-07-18T00:00:00Z"/>
        <d v="2014-08-30T00:00:00Z"/>
        <d v="2014-09-24T00:00:00Z"/>
        <d v="2014-10-08T00:00:00Z"/>
        <d v="2014-10-13T00:00:00Z"/>
        <d v="2014-10-31T00:00:00Z"/>
        <d v="2014-11-07T00:00:00Z"/>
        <d v="2014-11-18T00:00:00Z"/>
        <d v="2014-11-24T00:00:00Z"/>
        <d v="2014-12-02T00:00:00Z"/>
        <d v="2014-12-09T00:00:00Z"/>
        <d v="2014-12-19T00:00:00Z"/>
        <d v="2015-01-14T00:00:00Z"/>
        <d v="2015-01-20T00:00:00Z"/>
        <d v="2015-01-26T00:00:00Z"/>
        <d v="2015-02-03T00:00:00Z"/>
        <d v="2015-02-09T00:00:00Z"/>
        <d v="2015-02-24T00:00:00Z"/>
        <d v="2015-03-17T00:00:00Z"/>
        <d v="2015-06-05T00:00:00Z"/>
        <d v="2015-07-06T00:00:00Z"/>
        <d v="2015-08-18T00:00:00Z"/>
        <d v="2015-09-16T00:00:00Z"/>
        <d v="2015-04-10T00:00:00Z"/>
        <d v="2015-04-24T00:00:00Z"/>
        <d v="2015-05-12T00:00:00Z"/>
        <d v="2015-05-27T00:00:00Z"/>
        <d v="2015-06-16T00:00:00Z"/>
        <d v="2015-07-15T00:00:00Z"/>
        <d v="2015-08-13T00:00:00Z"/>
        <d v="2015-08-28T00:00:00Z"/>
        <d v="2015-09-17T00:00:00Z"/>
        <d v="2015-11-20T00:00:00Z"/>
        <d v="2016-01-21T00:00:00Z"/>
        <d v="2016-03-16T00:00:00Z"/>
        <d v="2016-05-27T00:00:00Z"/>
        <d v="2016-06-15T00:00:00Z"/>
        <d v="2016-10-10T00:00:00Z"/>
        <d v="2015-11-18T00:00:00Z"/>
        <d v="2015-12-09T00:00:00Z"/>
        <d v="2016-01-15T00:00:00Z"/>
        <d v="2016-01-28T00:00:00Z"/>
        <d v="2016-02-05T00:00:00Z"/>
        <d v="2016-03-18T00:00:00Z"/>
        <d v="2016-03-25T00:00:00Z"/>
        <d v="2016-04-14T00:00:00Z"/>
        <d v="2016-04-18T00:00:00Z"/>
        <d v="2016-07-22T00:00:00Z"/>
        <d v="2016-11-24T00:00:00Z"/>
        <d v="2016-12-16T00:00:00Z"/>
        <d v="2017-01-12T00:00:00Z"/>
        <d v="2016-10-27T00:00:00Z"/>
        <d v="2016-11-21T00:00:00Z"/>
        <d v="2016-12-08T00:00:00Z"/>
        <d v="2016-12-23T00:00:00Z"/>
        <d v="2017-02-07T00:00:00Z"/>
        <d v="2017-03-08T00:00:00Z"/>
        <d v="2017-03-31T00:00:00Z"/>
        <d v="2017-07-03T00:00:00Z"/>
        <d v="2017-08-18T00:00:00Z"/>
        <m/>
      </sharedItems>
    </cacheField>
    <cacheField name="Pivot dates" numFmtId="0">
      <sharedItems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</sharedItems>
    </cacheField>
    <cacheField name="Pivot release dates" numFmtId="0">
      <sharedItems containsBlank="1">
        <s v="2010-10"/>
        <s v="2010-11"/>
        <s v="2010-12"/>
        <s v="2011-01"/>
        <s v="2011-02"/>
        <s v="2011-03"/>
        <s v="2011-04"/>
        <s v="2011-06"/>
        <s v="2011-07"/>
        <s v="2011-08"/>
        <s v="2011-09"/>
        <s v="2011-10"/>
        <s v="2011-11"/>
        <s v="2012-01"/>
        <s v="2012-03"/>
        <s v="2012-04"/>
        <s v="2012-05"/>
        <s v="2012-06"/>
        <s v="2012-08"/>
        <s v="2012-11"/>
        <s v="2013-01"/>
        <s v="2013-02"/>
        <s v="2013-04"/>
        <s v="2013-05"/>
        <s v="2013-08"/>
        <s v="2013-09"/>
        <s v="2013-10"/>
        <s v="2013-11"/>
        <s v="2013-12"/>
        <s v="2014-01"/>
        <s v="2014-02"/>
        <s v="2014-03"/>
        <s v="2014-04"/>
        <s v="2014-06"/>
        <s v="2014-07"/>
        <s v="2014-08"/>
        <s v="2014-09"/>
        <s v="2014-10"/>
        <s v="2014-11"/>
        <s v="2014-12"/>
        <s v="2015-09"/>
        <s v="2016-07"/>
        <s v="2016-10"/>
        <s v="2014-05"/>
        <s v="2015-01"/>
        <s v="2015-02"/>
        <s v="2015-03"/>
        <s v="2015-06"/>
        <s v="2015-07"/>
        <s v="2015-08"/>
        <s v="2015-04"/>
        <s v="2015-05"/>
        <s v="2015-11"/>
        <s v="2016-01"/>
        <s v="2016-03"/>
        <s v="2016-05"/>
        <s v="2016-06"/>
        <s v="2015-12"/>
        <s v="2016-02"/>
        <s v="2016-04"/>
        <s v="2016-11"/>
        <s v="2016-12"/>
        <s v="2017-01"/>
        <s v="2017-02"/>
        <s v="2017-03"/>
        <s v="2017-07"/>
        <s v="2017-08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Q93:U549" sheet="Raw"/>
  </cacheSource>
  <cacheFields>
    <cacheField name="Date" numFmtId="167">
      <sharedItems containsSemiMixedTypes="0" containsDate="1" containsString="0">
        <d v="2014-01-29T00:00:00Z"/>
        <d v="2014-02-03T00:00:00Z"/>
        <d v="2014-02-04T00:00:00Z"/>
        <d v="2014-02-05T00:00:00Z"/>
        <d v="2014-02-12T00:00:00Z"/>
        <d v="2014-02-13T00:00:00Z"/>
        <d v="2014-02-17T00:00:00Z"/>
        <d v="2014-02-18T00:00:00Z"/>
        <d v="2014-02-20T00:00:00Z"/>
        <d v="2014-02-24T00:00:00Z"/>
        <d v="2014-02-25T00:00:00Z"/>
        <d v="2014-02-26T00:00:00Z"/>
        <d v="2014-02-27T00:00:00Z"/>
        <d v="2014-03-03T00:00:00Z"/>
        <d v="2014-03-05T00:00:00Z"/>
        <d v="2014-03-06T00:00:00Z"/>
        <d v="2014-03-11T00:00:00Z"/>
        <d v="2014-03-12T00:00:00Z"/>
        <d v="2014-03-13T00:00:00Z"/>
        <d v="2014-03-17T00:00:00Z"/>
        <d v="2014-03-18T00:00:00Z"/>
        <d v="2014-03-19T00:00:00Z"/>
        <d v="2014-03-24T00:00:00Z"/>
        <d v="2014-03-25T00:00:00Z"/>
        <d v="2014-03-26T00:00:00Z"/>
        <d v="2014-03-27T00:00:00Z"/>
        <d v="2014-04-01T00:00:00Z"/>
        <d v="2014-04-03T00:00:00Z"/>
        <d v="2014-04-08T00:00:00Z"/>
        <d v="2014-04-14T00:00:00Z"/>
        <d v="2014-04-16T00:00:00Z"/>
        <d v="2014-04-22T00:00:00Z"/>
        <d v="2014-04-23T00:00:00Z"/>
        <d v="2014-05-01T00:00:00Z"/>
        <d v="2014-05-05T00:00:00Z"/>
        <d v="2014-05-07T00:00:00Z"/>
        <d v="2014-05-08T00:00:00Z"/>
        <d v="2014-05-14T00:00:00Z"/>
        <d v="2014-05-19T00:00:00Z"/>
        <d v="2014-05-28T00:00:00Z"/>
        <d v="2014-05-29T00:00:00Z"/>
        <d v="2014-06-02T00:00:00Z"/>
        <d v="2014-06-09T00:00:00Z"/>
        <d v="2014-06-16T00:00:00Z"/>
        <d v="2014-06-18T00:00:00Z"/>
        <d v="2014-06-23T00:00:00Z"/>
        <d v="2014-06-24T00:00:00Z"/>
        <d v="2014-06-25T00:00:00Z"/>
        <d v="2014-06-26T00:00:00Z"/>
        <d v="2014-06-30T00:00:00Z"/>
        <d v="2014-07-01T00:00:00Z"/>
        <d v="2014-07-03T00:00:00Z"/>
        <d v="2014-07-07T00:00:00Z"/>
        <d v="2014-07-08T00:00:00Z"/>
        <d v="2014-07-09T00:00:00Z"/>
        <d v="2014-07-10T00:00:00Z"/>
        <d v="2014-07-14T00:00:00Z"/>
        <d v="2014-07-16T00:00:00Z"/>
        <d v="2014-07-18T00:00:00Z"/>
        <d v="2014-07-23T00:00:00Z"/>
        <d v="2014-07-28T00:00:00Z"/>
        <d v="2014-07-29T00:00:00Z"/>
        <d v="2014-07-30T00:00:00Z"/>
        <d v="2014-08-04T00:00:00Z"/>
        <d v="2014-08-05T00:00:00Z"/>
        <d v="2014-08-06T00:00:00Z"/>
        <d v="2014-08-07T00:00:00Z"/>
        <d v="2014-08-13T00:00:00Z"/>
        <d v="2014-08-14T00:00:00Z"/>
        <d v="2014-08-15T00:00:00Z"/>
        <d v="2014-08-18T00:00:00Z"/>
        <d v="2014-08-19T00:00:00Z"/>
        <d v="2014-08-20T00:00:00Z"/>
        <d v="2014-08-21T00:00:00Z"/>
        <d v="2014-08-26T00:00:00Z"/>
        <d v="2014-08-28T00:00:00Z"/>
        <d v="2014-09-03T00:00:00Z"/>
        <d v="2014-09-08T00:00:00Z"/>
        <d v="2014-09-09T00:00:00Z"/>
        <d v="2014-09-10T00:00:00Z"/>
        <d v="2014-09-15T00:00:00Z"/>
        <d v="2014-09-18T00:00:00Z"/>
        <d v="2014-09-23T00:00:00Z"/>
        <d v="2014-09-24T00:00:00Z"/>
        <d v="2014-09-25T00:00:00Z"/>
        <d v="2014-09-29T00:00:00Z"/>
        <d v="2014-09-30T00:00:00Z"/>
        <d v="2014-10-01T00:00:00Z"/>
        <d v="2014-10-02T00:00:00Z"/>
        <d v="2014-10-06T00:00:00Z"/>
        <d v="2014-10-07T00:00:00Z"/>
        <d v="2014-10-08T00:00:00Z"/>
        <d v="2014-10-09T00:00:00Z"/>
        <d v="2014-10-13T00:00:00Z"/>
        <d v="2014-10-15T00:00:00Z"/>
        <d v="2014-10-16T00:00:00Z"/>
        <d v="2014-10-23T00:00:00Z"/>
        <d v="2014-10-30T00:00:00Z"/>
        <d v="2014-11-03T00:00:00Z"/>
        <d v="2014-11-04T00:00:00Z"/>
        <d v="2014-11-05T00:00:00Z"/>
        <d v="2014-11-10T00:00:00Z"/>
        <d v="2014-11-11T00:00:00Z"/>
        <d v="2014-11-12T00:00:00Z"/>
        <d v="2014-11-13T00:00:00Z"/>
        <d v="2014-11-17T00:00:00Z"/>
        <d v="2014-11-18T00:00:00Z"/>
        <d v="2014-11-20T00:00:00Z"/>
        <d v="2014-11-24T00:00:00Z"/>
        <d v="2014-11-26T00:00:00Z"/>
        <d v="2014-11-27T00:00:00Z"/>
        <d v="2014-12-01T00:00:00Z"/>
        <d v="2014-12-02T00:00:00Z"/>
        <d v="2014-12-03T00:00:00Z"/>
        <d v="2014-12-04T00:00:00Z"/>
        <d v="2014-12-08T00:00:00Z"/>
        <d v="2014-12-09T00:00:00Z"/>
        <d v="2014-12-10T00:00:00Z"/>
        <d v="2014-12-11T00:00:00Z"/>
        <d v="2014-12-16T00:00:00Z"/>
        <d v="2014-12-31T00:00:00Z"/>
        <d v="2015-01-05T00:00:00Z"/>
        <d v="2015-01-14T00:00:00Z"/>
        <d v="2015-01-15T00:00:00Z"/>
        <d v="2015-01-16T00:00:00Z"/>
        <d v="2015-01-27T00:00:00Z"/>
        <d v="2015-01-29T00:00:00Z"/>
        <d v="2015-02-04T00:00:00Z"/>
        <d v="2015-02-05T00:00:00Z"/>
        <d v="2015-02-12T00:00:00Z"/>
        <d v="2015-02-17T00:00:00Z"/>
        <d v="2015-02-19T00:00:00Z"/>
        <d v="2015-02-20T00:00:00Z"/>
        <d v="2015-02-23T00:00:00Z"/>
        <d v="2015-02-24T00:00:00Z"/>
        <d v="2015-02-25T00:00:00Z"/>
        <d v="2015-02-27T00:00:00Z"/>
        <d v="2015-03-02T00:00:00Z"/>
        <d v="2015-03-12T00:00:00Z"/>
        <d v="2015-03-18T00:00:00Z"/>
        <d v="2015-03-24T00:00:00Z"/>
        <d v="2015-03-26T00:00:00Z"/>
        <d v="2015-04-01T00:00:00Z"/>
        <d v="2015-04-07T00:00:00Z"/>
        <d v="2015-04-09T00:00:00Z"/>
        <d v="2015-04-16T00:00:00Z"/>
        <d v="2015-04-21T00:00:00Z"/>
        <d v="2015-04-23T00:00:00Z"/>
        <d v="2015-04-27T00:00:00Z"/>
        <d v="2015-04-28T00:00:00Z"/>
        <d v="2015-04-30T00:00:00Z"/>
        <d v="2015-05-04T00:00:00Z"/>
        <d v="2015-05-05T00:00:00Z"/>
        <d v="2015-05-06T00:00:00Z"/>
        <d v="2015-05-07T00:00:00Z"/>
        <d v="2015-05-14T00:00:00Z"/>
        <d v="2015-05-18T00:00:00Z"/>
        <d v="2015-05-19T00:00:00Z"/>
        <d v="2015-05-21T00:00:00Z"/>
        <d v="2015-05-26T00:00:00Z"/>
        <d v="2015-05-27T00:00:00Z"/>
        <d v="2015-05-28T00:00:00Z"/>
        <d v="2015-05-29T00:00:00Z"/>
        <d v="2015-06-02T00:00:00Z"/>
        <d v="2015-06-03T00:00:00Z"/>
        <d v="2015-06-04T00:00:00Z"/>
        <d v="2015-06-05T00:00:00Z"/>
        <d v="2015-06-11T00:00:00Z"/>
        <d v="2015-06-12T00:00:00Z"/>
        <d v="2015-06-16T00:00:00Z"/>
        <d v="2015-06-17T00:00:00Z"/>
        <d v="2015-06-18T00:00:00Z"/>
        <d v="2015-06-22T00:00:00Z"/>
        <d v="2015-06-23T00:00:00Z"/>
        <d v="2015-06-24T00:00:00Z"/>
        <d v="2015-06-25T00:00:00Z"/>
        <d v="2015-06-29T00:00:00Z"/>
        <d v="2015-06-30T00:00:00Z"/>
        <d v="2015-07-02T00:00:00Z"/>
        <d v="2015-07-03T00:00:00Z"/>
        <d v="2015-07-06T00:00:00Z"/>
        <d v="2015-07-07T00:00:00Z"/>
        <d v="2015-07-08T00:00:00Z"/>
        <d v="2015-07-09T00:00:00Z"/>
        <d v="2015-07-14T00:00:00Z"/>
        <d v="2015-07-15T00:00:00Z"/>
        <d v="2015-07-16T00:00:00Z"/>
        <d v="2015-07-20T00:00:00Z"/>
        <d v="2015-07-21T00:00:00Z"/>
        <d v="2015-07-22T00:00:00Z"/>
        <d v="2015-07-23T00:00:00Z"/>
        <d v="2015-07-24T00:00:00Z"/>
        <d v="2015-07-27T00:00:00Z"/>
        <d v="2015-07-28T00:00:00Z"/>
        <d v="2015-07-30T00:00:00Z"/>
        <d v="2015-07-31T00:00:00Z"/>
        <d v="2015-08-05T00:00:00Z"/>
        <d v="2015-08-06T00:00:00Z"/>
        <d v="2015-08-07T00:00:00Z"/>
        <d v="2015-08-12T00:00:00Z"/>
        <d v="2015-08-13T00:00:00Z"/>
        <d v="2015-08-14T00:00:00Z"/>
        <d v="2015-08-19T00:00:00Z"/>
        <d v="2015-08-20T00:00:00Z"/>
        <d v="2015-08-25T00:00:00Z"/>
        <d v="2015-08-26T00:00:00Z"/>
        <d v="2015-08-27T00:00:00Z"/>
        <d v="2015-08-28T00:00:00Z"/>
        <d v="2015-08-31T00:00:00Z"/>
        <d v="2015-09-01T00:00:00Z"/>
        <d v="2015-09-02T00:00:00Z"/>
        <d v="2015-09-03T00:00:00Z"/>
        <d v="2015-09-08T00:00:00Z"/>
        <d v="2015-09-09T00:00:00Z"/>
        <d v="2015-09-10T00:00:00Z"/>
        <d v="2015-09-15T00:00:00Z"/>
        <d v="2015-09-16T00:00:00Z"/>
        <d v="2015-09-17T00:00:00Z"/>
        <d v="2015-09-18T00:00:00Z"/>
        <d v="2015-09-22T00:00:00Z"/>
        <d v="2015-09-23T00:00:00Z"/>
        <d v="2015-09-24T00:00:00Z"/>
        <d v="2015-09-25T00:00:00Z"/>
        <d v="2015-09-28T00:00:00Z"/>
        <d v="2015-09-29T00:00:00Z"/>
        <d v="2015-09-30T00:00:00Z"/>
        <d v="2015-10-01T00:00:00Z"/>
        <d v="2015-10-07T00:00:00Z"/>
        <d v="2015-10-08T00:00:00Z"/>
        <d v="2015-10-13T00:00:00Z"/>
        <d v="2015-10-14T00:00:00Z"/>
        <d v="2015-10-15T00:00:00Z"/>
        <d v="2015-10-16T00:00:00Z"/>
        <d v="2015-10-20T00:00:00Z"/>
        <d v="2015-10-21T00:00:00Z"/>
        <d v="2015-10-22T00:00:00Z"/>
        <d v="2015-10-29T00:00:00Z"/>
        <d v="2015-10-30T00:00:00Z"/>
        <d v="2015-11-05T00:00:00Z"/>
        <d v="2015-11-06T00:00:00Z"/>
        <d v="2015-11-11T00:00:00Z"/>
        <d v="2015-11-12T00:00:00Z"/>
        <d v="2015-11-13T00:00:00Z"/>
        <d v="2015-11-18T00:00:00Z"/>
        <d v="2015-11-19T00:00:00Z"/>
        <d v="2015-11-25T00:00:00Z"/>
        <d v="2015-11-26T00:00:00Z"/>
        <d v="2015-12-02T00:00:00Z"/>
        <d v="2015-12-03T00:00:00Z"/>
        <d v="2015-12-04T00:00:00Z"/>
        <d v="2015-12-09T00:00:00Z"/>
        <d v="2015-12-10T00:00:00Z"/>
        <d v="2015-12-16T00:00:00Z"/>
        <d v="2015-12-17T00:00:00Z"/>
        <d v="2015-12-18T00:00:00Z"/>
        <d v="2015-12-24T00:00:00Z"/>
        <d v="2015-12-25T00:00:00Z"/>
        <d v="2015-12-30T00:00:00Z"/>
        <d v="2015-12-31T00:00:00Z"/>
        <d v="2016-01-07T00:00:00Z"/>
        <d v="2016-01-08T00:00:00Z"/>
        <d v="2016-01-13T00:00:00Z"/>
        <d v="2016-01-14T00:00:00Z"/>
        <d v="2016-01-20T00:00:00Z"/>
        <d v="2016-01-21T00:00:00Z"/>
        <d v="2016-01-22T00:00:00Z"/>
        <d v="2016-01-27T00:00:00Z"/>
        <d v="2016-01-28T00:00:00Z"/>
        <d v="2016-01-29T00:00:00Z"/>
        <d v="2016-02-03T00:00:00Z"/>
        <d v="2016-02-04T00:00:00Z"/>
        <d v="2016-02-05T00:00:00Z"/>
        <d v="2016-02-10T00:00:00Z"/>
        <d v="2016-02-11T00:00:00Z"/>
        <d v="2016-02-12T00:00:00Z"/>
        <d v="2016-02-17T00:00:00Z"/>
        <d v="2016-02-18T00:00:00Z"/>
        <d v="2016-02-19T00:00:00Z"/>
        <d v="2016-02-24T00:00:00Z"/>
        <d v="2016-02-25T00:00:00Z"/>
        <d v="2016-03-03T00:00:00Z"/>
        <d v="2016-03-04T00:00:00Z"/>
        <d v="2016-03-10T00:00:00Z"/>
        <d v="2016-03-11T00:00:00Z"/>
        <d v="2016-03-17T00:00:00Z"/>
        <d v="2016-03-24T00:00:00Z"/>
        <d v="2016-03-25T00:00:00Z"/>
        <d v="2016-03-30T00:00:00Z"/>
        <d v="2016-03-31T00:00:00Z"/>
        <d v="2016-04-01T00:00:00Z"/>
        <d v="2016-04-06T00:00:00Z"/>
        <d v="2016-04-07T00:00:00Z"/>
        <d v="2016-04-08T00:00:00Z"/>
        <d v="2016-04-14T00:00:00Z"/>
        <d v="2016-04-15T00:00:00Z"/>
        <d v="2016-04-21T00:00:00Z"/>
        <d v="2016-04-22T00:00:00Z"/>
        <d v="2016-04-28T00:00:00Z"/>
        <d v="2016-04-29T00:00:00Z"/>
        <d v="2016-05-04T00:00:00Z"/>
        <d v="2016-05-05T00:00:00Z"/>
        <d v="2016-05-06T00:00:00Z"/>
        <d v="2016-05-12T00:00:00Z"/>
        <d v="2016-05-13T00:00:00Z"/>
        <d v="2016-05-18T00:00:00Z"/>
        <d v="2016-05-19T00:00:00Z"/>
        <d v="2016-05-20T00:00:00Z"/>
        <d v="2016-05-25T00:00:00Z"/>
        <d v="2016-05-26T00:00:00Z"/>
        <d v="2016-06-02T00:00:00Z"/>
        <d v="2016-06-03T00:00:00Z"/>
        <d v="2016-06-09T00:00:00Z"/>
        <d v="2016-06-10T00:00:00Z"/>
        <d v="2016-06-16T00:00:00Z"/>
        <d v="2016-06-17T00:00:00Z"/>
        <d v="2016-06-22T00:00:00Z"/>
        <d v="2016-06-23T00:00:00Z"/>
        <d v="2016-06-24T00:00:00Z"/>
        <d v="2016-06-30T00:00:00Z"/>
        <d v="2016-07-01T00:00:00Z"/>
        <d v="2016-07-07T00:00:00Z"/>
        <d v="2016-07-08T00:00:00Z"/>
        <d v="2016-07-14T00:00:00Z"/>
        <d v="2016-07-15T00:00:00Z"/>
        <d v="2016-07-21T00:00:00Z"/>
        <d v="2016-07-22T00:00:00Z"/>
        <d v="2016-07-28T00:00:00Z"/>
        <d v="2016-07-29T00:00:00Z"/>
        <d v="2016-08-04T00:00:00Z"/>
        <d v="2016-08-05T00:00:00Z"/>
        <d v="2016-08-11T00:00:00Z"/>
        <d v="2016-08-12T00:00:00Z"/>
        <d v="2016-08-17T00:00:00Z"/>
        <d v="2016-08-18T00:00:00Z"/>
        <d v="2016-08-19T00:00:00Z"/>
        <d v="2016-08-25T00:00:00Z"/>
        <d v="2016-08-26T00:00:00Z"/>
        <d v="2016-09-01T00:00:00Z"/>
        <d v="2016-09-08T00:00:00Z"/>
        <d v="2016-09-09T00:00:00Z"/>
        <d v="2016-09-15T00:00:00Z"/>
        <d v="2016-09-16T00:00:00Z"/>
        <d v="2016-09-22T00:00:00Z"/>
        <d v="2016-09-23T00:00:00Z"/>
        <d v="2016-09-29T00:00:00Z"/>
        <d v="2016-09-30T00:00:00Z"/>
        <d v="2016-10-06T00:00:00Z"/>
        <d v="2016-10-07T00:00:00Z"/>
        <d v="2016-10-13T00:00:00Z"/>
        <d v="2016-10-14T00:00:00Z"/>
        <d v="2016-10-20T00:00:00Z"/>
        <d v="2016-10-21T00:00:00Z"/>
        <d v="2016-10-27T00:00:00Z"/>
        <d v="2016-10-28T00:00:00Z"/>
        <d v="2016-11-03T00:00:00Z"/>
        <d v="2016-11-04T00:00:00Z"/>
        <d v="2016-11-10T00:00:00Z"/>
        <d v="2016-11-11T00:00:00Z"/>
        <d v="2016-11-17T00:00:00Z"/>
        <d v="2016-11-18T00:00:00Z"/>
        <d v="2016-11-24T00:00:00Z"/>
        <d v="2016-11-25T00:00:00Z"/>
        <d v="2016-12-01T00:00:00Z"/>
        <d v="2016-12-02T00:00:00Z"/>
        <d v="2016-12-08T00:00:00Z"/>
        <d v="2016-12-09T00:00:00Z"/>
        <d v="2016-12-15T00:00:00Z"/>
        <d v="2016-12-16T00:00:00Z"/>
        <d v="2016-12-22T00:00:00Z"/>
        <d v="2016-12-23T00:00:00Z"/>
        <d v="2016-12-29T00:00:00Z"/>
        <d v="2016-12-30T00:00:00Z"/>
        <d v="2017-01-05T00:00:00Z"/>
        <d v="2017-01-06T00:00:00Z"/>
        <d v="2017-01-12T00:00:00Z"/>
        <d v="2017-01-13T00:00:00Z"/>
        <d v="2017-01-19T00:00:00Z"/>
        <d v="2017-01-20T00:00:00Z"/>
        <d v="2017-01-26T00:00:00Z"/>
        <d v="2017-01-27T00:00:00Z"/>
        <d v="2017-02-02T00:00:00Z"/>
        <d v="2017-02-03T00:00:00Z"/>
        <d v="2017-02-09T00:00:00Z"/>
        <d v="2017-02-10T00:00:00Z"/>
        <d v="2017-02-16T00:00:00Z"/>
        <d v="2017-02-17T00:00:00Z"/>
        <d v="2017-02-23T00:00:00Z"/>
        <d v="2017-02-24T00:00:00Z"/>
        <d v="2017-03-02T00:00:00Z"/>
        <d v="2017-03-03T00:00:00Z"/>
        <d v="2017-03-09T00:00:00Z"/>
        <d v="2017-03-10T00:00:00Z"/>
        <d v="2017-03-16T00:00:00Z"/>
        <d v="2017-03-17T00:00:00Z"/>
        <d v="2017-03-23T00:00:00Z"/>
        <d v="2017-03-24T00:00:00Z"/>
        <d v="2017-03-30T00:00:00Z"/>
        <d v="2017-03-31T00:00:00Z"/>
        <d v="2017-04-06T00:00:00Z"/>
        <d v="2017-04-07T00:00:00Z"/>
        <d v="2017-04-13T00:00:00Z"/>
        <d v="2017-04-14T00:00:00Z"/>
        <d v="2017-04-20T00:00:00Z"/>
        <d v="2017-04-21T00:00:00Z"/>
        <d v="2017-04-27T00:00:00Z"/>
        <d v="2017-04-28T00:00:00Z"/>
        <d v="2017-05-04T00:00:00Z"/>
        <d v="2017-05-05T00:00:00Z"/>
        <d v="2017-05-11T00:00:00Z"/>
        <d v="2017-05-12T00:00:00Z"/>
        <d v="2017-05-18T00:00:00Z"/>
        <d v="2017-05-19T00:00:00Z"/>
        <d v="2017-05-25T00:00:00Z"/>
        <d v="2017-05-26T00:00:00Z"/>
        <d v="2017-06-01T00:00:00Z"/>
        <d v="2017-06-02T00:00:00Z"/>
        <d v="2017-06-08T00:00:00Z"/>
        <d v="2017-06-09T00:00:00Z"/>
        <d v="2017-06-15T00:00:00Z"/>
        <d v="2017-06-16T00:00:00Z"/>
        <d v="2017-06-22T00:00:00Z"/>
        <d v="2017-06-23T00:00:00Z"/>
        <d v="2017-06-29T00:00:00Z"/>
        <d v="2017-06-30T00:00:00Z"/>
        <d v="2017-07-06T00:00:00Z"/>
        <d v="2017-07-07T00:00:00Z"/>
        <d v="2017-07-13T00:00:00Z"/>
        <d v="2017-07-14T00:00:00Z"/>
        <d v="2017-07-20T00:00:00Z"/>
        <d v="2017-07-21T00:00:00Z"/>
        <d v="2017-07-27T00:00:00Z"/>
        <d v="2017-07-28T00:00:00Z"/>
        <d v="2017-08-03T00:00:00Z"/>
        <d v="2017-08-04T00:00:00Z"/>
        <d v="2017-08-10T00:00:00Z"/>
        <d v="2017-08-11T00:00:00Z"/>
        <d v="2017-08-17T00:00:00Z"/>
        <d v="2017-08-18T00:00:00Z"/>
        <d v="2017-08-24T00:00:00Z"/>
        <d v="2017-08-25T00:00:00Z"/>
        <d v="2017-08-31T00:00:00Z"/>
        <d v="2017-09-01T00:00:00Z"/>
        <d v="2017-09-07T00:00:00Z"/>
        <d v="2017-09-08T00:00:00Z"/>
        <d v="2017-09-15T00:00:00Z"/>
        <d v="2017-09-21T00:00:00Z"/>
        <d v="2017-09-22T00:00:00Z"/>
        <d v="2017-09-28T00:00:00Z"/>
        <d v="2017-09-29T00:00:00Z"/>
        <d v="2017-10-06T00:00:00Z"/>
        <d v="2017-10-12T00:00:00Z"/>
        <d v="2017-10-13T00:00:00Z"/>
        <d v="2017-10-19T00:00:00Z"/>
        <d v="2017-10-20T00:00:00Z"/>
        <d v="2017-10-26T00:00:00Z"/>
        <d v="2017-10-27T00:00:00Z"/>
      </sharedItems>
    </cacheField>
    <cacheField name="Score" numFmtId="0">
      <sharedItems containsSemiMixedTypes="0" containsString="0" containsNumber="1">
        <n v="0.833880794425"/>
        <n v="0.806061672606"/>
        <n v="0.725407889022"/>
        <n v="0.746911849369"/>
        <n v="0.589231463397"/>
        <n v="0.709850714963"/>
        <n v="0.767382039085"/>
        <n v="0.69810355441"/>
        <n v="0.947828004261"/>
        <n v="0.428718591175"/>
        <n v="0.673017470626"/>
        <n v="0.645476196044"/>
        <n v="0.434867837179"/>
        <n v="0.63899106633"/>
        <n v="0.487263687474"/>
        <n v="0.681237852391"/>
        <n v="0.117222184724"/>
        <n v="0.645214776861"/>
        <n v="0.490484458681"/>
        <n v="0.574536400204"/>
        <n v="0.760910412428"/>
        <n v="0.671102317075"/>
        <n v="0.595775572812"/>
        <n v="0.787526558134"/>
        <n v="0.612453203855"/>
        <n v="0.604569086527"/>
        <n v="0.69602018321"/>
        <n v="0.745577306369"/>
        <n v="0.624380672135"/>
        <n v="0.442277616641"/>
        <n v="0.870693385561"/>
        <n v="0.799306575535"/>
        <n v="0.601956773141"/>
        <n v="0.613111349464"/>
        <n v="0.72132050937"/>
        <n v="0.814455490695"/>
        <n v="0.689134445204"/>
        <n v="0.524193383291"/>
        <n v="0.467365501928"/>
        <n v="0.606581538497"/>
        <n v="0.638105370308"/>
        <n v="0.660685996245"/>
        <n v="0.715213306197"/>
        <n v="0.649672655213"/>
        <n v="0.205915484704"/>
        <n v="0.734818804533"/>
        <n v="0.861234751364"/>
        <n v="0.898021387068"/>
        <n v="0.356614422232"/>
        <n v="0.911476420253"/>
        <n v="0.769105634148"/>
        <n v="0.76931038242"/>
        <n v="0.440770235749"/>
        <n v="0.700859778717"/>
        <n v="0.850771804708"/>
        <n v="0.931281852422"/>
        <n v="0.371614450226"/>
        <n v="0.928256214593"/>
        <n v="0.868487003895"/>
        <n v="0.755274143762"/>
        <n v="0.726851841687"/>
        <n v="0.725090562435"/>
        <n v="0.560248165207"/>
        <n v="0.639398412669"/>
        <n v="0.527740700142"/>
        <n v="0.788065458775"/>
        <n v="0.738334326887"/>
        <n v="0.551392640387"/>
        <n v="0.533620420447"/>
        <n v="0.438081505221"/>
        <n v="0.897918087367"/>
        <n v="0.716968398098"/>
        <n v="0.778261281203"/>
        <n v="0.852887804614"/>
        <n v="0.784355087792"/>
        <n v="0.612428896437"/>
        <n v="0.546481463998"/>
        <n v="0.709940702093"/>
        <n v="0.547821554121"/>
        <n v="0.771900140307"/>
        <n v="0.890330447816"/>
        <n v="0.633298333059"/>
        <n v="0.833167738555"/>
        <n v="0.313591038752"/>
        <n v="0.829943111856"/>
        <n v="0.773553435102"/>
        <n v="0.832670747446"/>
        <n v="0.605547544948"/>
        <n v="0.750969927075"/>
        <n v="0.498796484357"/>
        <n v="0.62483995806"/>
        <n v="0.876364698637"/>
        <n v="0.770062778424"/>
        <n v="0.952468392961"/>
        <n v="0.885836902202"/>
        <n v="0.672145248665"/>
        <n v="0.736237349464"/>
        <n v="0.980560948942"/>
        <n v="0.896679973402"/>
        <n v="0.916363587532"/>
        <n v="0.738155692743"/>
        <n v="0.6717799728"/>
        <n v="0.921619767198"/>
        <n v="0.828000076274"/>
        <n v="0.463732446113"/>
        <n v="0.713331251804"/>
        <n v="0.765243899921"/>
        <n v="0.984691383714"/>
        <n v="0.770575401869"/>
        <n v="0.643083615633"/>
        <n v="0.70127637393"/>
        <n v="0.678099576416"/>
        <n v="0.569077608714"/>
        <n v="0.687670955098"/>
        <n v="0.755224917356"/>
        <n v="0.773620659561"/>
        <n v="0.888345237029"/>
        <n v="0.711756029045"/>
        <n v="0.791288509824"/>
        <n v="0.937555098472"/>
        <n v="0.637782564311"/>
        <n v="0.242451990926"/>
        <n v="0.790967866254"/>
        <n v="0.804592732549"/>
        <n v="0.550871860153"/>
        <n v="0.816442956371"/>
        <n v="0.671180780669"/>
        <n v="0.54196635988"/>
        <n v="0.794833324902"/>
        <n v="0.517515741886"/>
        <n v="0.851240945957"/>
        <n v="0.984019382702"/>
        <n v="0.906142840454"/>
        <n v="0.728220809992"/>
        <n v="0.600138357375"/>
        <n v="0.767405991516"/>
        <n v="0.847227404618"/>
        <n v="0.701060436831"/>
        <n v="0.76489903231"/>
        <n v="0.743862653865"/>
        <n v="0.613619992312"/>
        <n v="0.712753236543"/>
        <n v="0.723276499635"/>
        <n v="0.469198262912"/>
        <n v="0.594436795797"/>
        <n v="0.726149594105"/>
        <n v="0.590908278625"/>
        <n v="0.690690381313"/>
        <n v="0.45849733279"/>
        <n v="0.988522609983"/>
        <n v="0.805024527431"/>
        <n v="0.773307905989"/>
        <n v="0.656535052336"/>
        <n v="0.603171097752"/>
        <n v="0.948391129677"/>
        <n v="0.57359543219"/>
        <n v="0.672927680202"/>
        <n v="0.870457039773"/>
        <n v="0.89529787166"/>
        <n v="0.841055541694"/>
        <n v="0.699988087334"/>
        <n v="0.817013547985"/>
        <n v="0.881165327128"/>
        <n v="0.589609712473"/>
        <n v="0.646407046425"/>
        <n v="0.690436348301"/>
        <n v="0.553548578418"/>
        <n v="0.721804145529"/>
        <n v="0.782384301965"/>
        <n v="0.677349454369"/>
        <n v="0.852922928009"/>
        <n v="0.431768112514"/>
        <n v="0.777197889807"/>
        <n v="0.739534098387"/>
        <n v="0.680916160527"/>
        <n v="0.482566039426"/>
        <n v="0.637974814885"/>
        <n v="0.788164088836"/>
        <n v="0.757690142453"/>
        <n v="0.702624579796"/>
        <n v="0.703100436105"/>
        <n v="0.718068538781"/>
        <n v="0.646698942209"/>
        <n v="0.706510731359"/>
        <n v="0.793425257967"/>
        <n v="0.773339210744"/>
        <n v="0.728343753942"/>
        <n v="0.734864858527"/>
        <n v="0.774282648433"/>
        <n v="0.61857332562"/>
        <n v="0.674909310498"/>
        <n v="0.964351345946"/>
        <n v="0.680248348803"/>
        <n v="0.734823086875"/>
        <n v="0.6369316273"/>
        <n v="0.99770022863"/>
        <n v="0.711177045934"/>
        <n v="0.652266778194"/>
        <n v="0.669920578509"/>
        <n v="0.632075656039"/>
        <n v="0.830368916178"/>
        <n v="0.606740981052"/>
        <n v="0.523965161001"/>
        <n v="0.697633076268"/>
        <n v="0.775722758584"/>
        <n v="0.678408161584"/>
        <n v="0.647783265744"/>
        <n v="0.458630658435"/>
        <n v="0.81081630126"/>
        <n v="0.792757676112"/>
        <n v="0.732400495723"/>
        <n v="0.693415000168"/>
        <n v="0.717367823866"/>
        <n v="0.814246633704"/>
        <n v="0.770847646195"/>
        <n v="0.917976086717"/>
        <n v="0.678863789806"/>
        <n v="0.726757038925"/>
        <n v="0.766401797683"/>
        <n v="0.612124252737"/>
        <n v="0.625111641865"/>
        <n v="0.689679277741"/>
        <n v="0.722181780471"/>
        <n v="0.953192663502"/>
        <n v="0.657473021355"/>
        <n v="0.591631071649"/>
        <n v="0.61704168286"/>
        <n v="0.794772877892"/>
        <n v="0.638024049478"/>
        <n v="0.39157756762"/>
        <n v="0.769430912037"/>
        <n v="0.705226251673"/>
        <n v="0.758835323467"/>
        <n v="0.621742674709"/>
        <n v="0.715616056064"/>
        <n v="0.594737853884"/>
        <n v="0.652149568542"/>
        <n v="0.74032675606"/>
        <n v="0.656388948121"/>
        <n v="0.593546990058"/>
        <n v="0.794770608059"/>
        <n v="0.805972257451"/>
        <n v="0.6217246576"/>
        <n v="0.690916491851"/>
        <n v="0.733933763566"/>
        <n v="0.643784216247"/>
        <n v="0.829452421613"/>
        <n v="0.653442557908"/>
        <n v="0.65668480717"/>
        <n v="0.685174134797"/>
        <n v="0.760908131996"/>
        <n v="0.696593626997"/>
        <n v="0.64528619699"/>
        <n v="0.682541688939"/>
        <n v="0.679154755299"/>
        <n v="0.709973551754"/>
        <n v="0.721723536081"/>
        <n v="0.692597715138"/>
        <n v="0.73517620031"/>
        <n v="0.742077055214"/>
        <n v="0.644074157324"/>
        <n v="0.828562808131"/>
        <n v="0.670532515858"/>
        <n v="0.717283332244"/>
        <n v="0.706847576673"/>
        <n v="0.482369988154"/>
        <n v="0.857606081197"/>
        <n v="0.66776853489"/>
        <n v="0.827870825127"/>
        <n v="0.75025312064"/>
        <n v="0.669302439271"/>
        <n v="0.655801686935"/>
        <n v="0.737999517153"/>
        <n v="0.736731081236"/>
        <n v="0.872928978349"/>
        <n v="0.820435100693"/>
        <n v="0.711059194596"/>
        <n v="0.770529350679"/>
        <n v="0.779999762908"/>
        <n v="0.697065376886"/>
        <n v="0.702923544233"/>
        <n v="0.614191588344"/>
        <n v="0.695572546956"/>
        <n v="0.991797690802"/>
        <n v="0.762203394962"/>
        <n v="0.758391379024"/>
        <n v="0.548130808337"/>
        <n v="0.714811268583"/>
        <n v="0.721022241982"/>
        <n v="0.610562693044"/>
        <n v="0.792034481462"/>
        <n v="0.694537959596"/>
        <n v="0.651588728258"/>
        <n v="0.802748995442"/>
        <n v="0.909752760815"/>
        <n v="0.756491216835"/>
        <n v="0.822765489305"/>
        <n v="0.750401505732"/>
        <n v="0.868518971661"/>
        <n v="0.72818313462"/>
        <n v="0.74086989635"/>
        <n v="0.878151995486"/>
        <n v="0.760731831582"/>
        <n v="0.624995103476"/>
        <n v="0.694625384335"/>
        <n v="0.709358115395"/>
        <n v="0.768628867711"/>
        <n v="0.820916443328"/>
        <n v="0.605829215101"/>
        <n v="0.78674582605"/>
        <n v="0.809005814677"/>
        <n v="0.707805071481"/>
        <n v="0.774259620174"/>
        <n v="0.766949477219"/>
        <n v="0.727668032212"/>
        <n v="0.734860373531"/>
        <n v="0.794429831627"/>
        <n v="0.692254620278"/>
        <n v="0.773699422105"/>
        <n v="0.725800953834"/>
        <n v="0.726609391624"/>
        <n v="0.743264446167"/>
        <n v="0.72243873424"/>
        <n v="0.753990979799"/>
        <n v="0.688659524546"/>
        <n v="0.70393390133"/>
        <n v="0.755635834555"/>
        <n v="0.697995195877"/>
        <n v="0.702251752201"/>
        <n v="0.753456555916"/>
        <n v="0.7177829624"/>
        <n v="0.608010695206"/>
        <n v="0.859689558003"/>
        <n v="0.763916781624"/>
        <n v="0.991501948295"/>
        <n v="0.720243883687"/>
        <n v="0.682910136484"/>
        <n v="0.749157907563"/>
        <n v="0.749918112633"/>
        <n v="0.994329807776"/>
        <n v="0.711442091868"/>
        <n v="0.755522245055"/>
        <n v="0.681230611332"/>
        <n v="0.723173027952"/>
        <n v="0.692030179457"/>
        <n v="0.769406952355"/>
        <n v="0.700790517322"/>
        <n v="0.724359912355"/>
        <n v="0.704720082402"/>
        <n v="0.744399654269"/>
        <n v="0.642931979269"/>
        <n v="0.722170775639"/>
        <n v="0.654486863497"/>
        <n v="0.830257266932"/>
        <n v="0.637519053728"/>
        <n v="0.538173279855"/>
        <n v="0.742018896428"/>
        <n v="0.778396341341"/>
        <n v="0.670781926512"/>
        <n v="0.78190930717"/>
        <n v="0.727346890209"/>
        <n v="0.699496846579"/>
        <n v="0.682533263828"/>
        <n v="0.858642313047"/>
        <n v="0.650048040352"/>
        <n v="0.447606263303"/>
        <n v="0.742442713787"/>
        <n v="0.883323004722"/>
        <n v="0.698677864604"/>
        <n v="0.78584530133"/>
        <n v="0.706390644018"/>
        <n v="0.874128397349"/>
        <n v="0.738340586843"/>
        <n v="0.846339551279"/>
        <n v="0.744996707512"/>
        <n v="0.794116409526"/>
        <n v="0.740960082389"/>
        <n v="0.642636285453"/>
        <n v="0.756055359497"/>
        <n v="0.941617029308"/>
        <n v="0.760891869194"/>
        <n v="0.755033463279"/>
        <n v="0.686458095901"/>
        <n v="0.737142750006"/>
        <n v="0.695065049233"/>
        <n v="0.884946531987"/>
        <n v="0.716913279652"/>
        <n v="0.838964235998"/>
        <n v="0.748572432797"/>
        <n v="0.757273081509"/>
        <n v="0.793782175779"/>
        <n v="0.778969094766"/>
        <n v="0.754850334108"/>
        <n v="0.882404090577"/>
        <n v="0.709934678249"/>
        <n v="0.780613580011"/>
        <n v="0.738464567715"/>
        <n v="0.53296766716"/>
        <n v="0.694896826917"/>
        <n v="0.558766347306"/>
        <n v="0.680266802719"/>
        <n v="0.610598071858"/>
        <n v="0.748506819071"/>
        <n v="0.746841895487"/>
        <n v="0.689455815779"/>
        <n v="0.743228587186"/>
        <n v="0.715663326211"/>
        <n v="0.790293692024"/>
        <n v="0.727810206237"/>
        <n v="0.768288356517"/>
        <n v="0.778295758024"/>
        <n v="0.676381159029"/>
        <n v="0.747572014139"/>
        <n v="0.840025333999"/>
        <n v="0.730824938394"/>
        <n v="0.747604230425"/>
        <n v="0.785758318671"/>
        <n v="0.599175280675"/>
        <n v="0.766846679937"/>
        <n v="0.700756502837"/>
        <n v="0.748526227905"/>
        <n v="0.746612812229"/>
        <n v="0.627143863455"/>
        <n v="0.691953010024"/>
        <n v="0.683214653351"/>
        <n v="0.74342491619"/>
        <n v="0.730014833592"/>
        <n v="0.64747857282"/>
        <n v="0.734703609953"/>
        <n v="0.812277508371"/>
        <n v="0.821082900214"/>
        <n v="0.759948714272"/>
        <n v="0.781815385935"/>
        <n v="0.749880243158"/>
        <n v="0.698993675687"/>
        <n v="0.805652585912"/>
        <n v="0.634242726418"/>
        <n v="0.67986976888"/>
        <n v="0.709754780515"/>
        <n v="0.712198490559"/>
        <n v="0.792096291971"/>
        <n v="0.757692729614"/>
        <n v="0.790345634388"/>
        <n v="0.691957176796"/>
        <n v="0.712815730921"/>
        <n v="0.622113898255"/>
        <n v="0.685694867645"/>
        <n v="0.71254525415"/>
        <n v="0.799391981954"/>
        <n v="0.746498953037"/>
        <n v="0.769920632589"/>
        <n v="0.719255036401"/>
        <n v="0.771571640209"/>
        <n v="0.779109475655"/>
        <n v="0.677156553191"/>
        <n v="0.700299353372"/>
      </sharedItems>
    </cacheField>
    <cacheField name="Release Dates" numFmtId="167">
      <sharedItems containsDate="1" containsString="0" containsBlank="1">
        <d v="2013-12-24T00:00:00Z"/>
        <d v="2013-12-28T00:00:00Z"/>
        <d v="2014-01-06T00:00:00Z"/>
        <d v="2014-01-10T00:00:00Z"/>
        <d v="2014-01-13T00:00:00Z"/>
        <d v="2014-01-19T00:00:00Z"/>
        <d v="2014-01-27T00:00:00Z"/>
        <d v="2014-02-02T00:00:00Z"/>
        <d v="2014-02-03T00:00:00Z"/>
        <d v="2014-02-07T00:00:00Z"/>
        <d v="2014-02-09T00:00:00Z"/>
        <d v="2014-02-11T00:00:00Z"/>
        <d v="2014-02-14T00:00:00Z"/>
        <d v="2014-02-20T00:00:00Z"/>
        <d v="2014-02-25T00:00:00Z"/>
        <d v="2014-03-02T00:00:00Z"/>
        <d v="2014-03-23T00:00:00Z"/>
        <d v="2014-03-24T00:00:00Z"/>
        <d v="2014-03-25T00:00:00Z"/>
        <d v="2014-03-26T00:00:00Z"/>
        <d v="2014-04-25T00:00:00Z"/>
        <d v="2014-06-06T00:00:00Z"/>
        <d v="2014-07-29T00:00:00Z"/>
        <d v="2015-11-23T00:00:00Z"/>
        <d v="2015-12-11T00:00:00Z"/>
        <d v="2015-12-10T00:00:00Z"/>
        <d v="2015-12-17T00:00:00Z"/>
        <d v="2015-12-25T00:00:00Z"/>
        <d v="2015-12-24T00:00:00Z"/>
        <d v="2016-01-11T00:00:00Z"/>
        <d v="2016-01-18T00:00:00Z"/>
        <d v="2016-01-30T00:00:00Z"/>
        <d v="2016-02-29T00:00:00Z"/>
        <d v="2016-03-18T00:00:00Z"/>
        <d v="2016-03-25T00:00:00Z"/>
        <d v="2016-03-26T00:00:00Z"/>
        <d v="2016-04-07T00:00:00Z"/>
        <d v="2016-05-07T00:00:00Z"/>
        <d v="2016-05-11T00:00:00Z"/>
        <d v="2016-06-16T00:00:00Z"/>
        <d v="2016-06-28T00:00:00Z"/>
        <d v="2016-09-23T00:00:00Z"/>
        <d v="2016-09-27T00:00:00Z"/>
        <d v="2016-06-10T00:00:00Z"/>
        <d v="2016-06-13T00:00:00Z"/>
        <d v="2016-06-15T00:00:00Z"/>
        <d v="2016-06-17T00:00:00Z"/>
        <d v="2016-06-22T00:00:00Z"/>
        <d v="2016-07-07T00:00:00Z"/>
        <d v="2016-07-17T00:00:00Z"/>
        <d v="2016-07-24T00:00:00Z"/>
        <d v="2016-07-26T00:00:00Z"/>
        <d v="2016-07-27T00:00:00Z"/>
        <d v="2016-08-01T00:00:00Z"/>
        <d v="2016-08-05T00:00:00Z"/>
        <d v="2016-08-10T00:00:00Z"/>
        <d v="2016-08-11T00:00:00Z"/>
        <d v="2016-08-16T00:00:00Z"/>
        <d v="2016-08-20T00:00:00Z"/>
        <d v="2016-08-29T00:00:00Z"/>
        <d v="2016-09-08T00:00:00Z"/>
        <d v="2016-09-13T00:00:00Z"/>
        <d v="2016-09-30T00:00:00Z"/>
        <d v="2016-10-12T00:00:00Z"/>
        <d v="2016-10-13T00:00:00Z"/>
        <d v="2016-11-04T00:00:00Z"/>
        <d v="2016-11-05T00:00:00Z"/>
        <d v="2016-11-15T00:00:00Z"/>
        <d v="2016-11-16T00:00:00Z"/>
        <d v="2016-11-20T00:00:00Z"/>
        <d v="2016-11-22T00:00:00Z"/>
        <d v="2016-11-23T00:00:00Z"/>
        <d v="2016-11-24T00:00:00Z"/>
        <d v="2016-12-02T00:00:00Z"/>
        <d v="2016-12-13T00:00:00Z"/>
        <d v="2016-12-24T00:00:00Z"/>
        <d v="2016-12-28T00:00:00Z"/>
        <d v="2017-01-16T00:00:00Z"/>
        <d v="2017-01-17T00:00:00Z"/>
        <d v="2017-02-24T00:00:00Z"/>
        <d v="2017-02-25T00:00:00Z"/>
        <d v="2017-02-26T00:00:00Z"/>
        <d v="2017-03-09T00:00:00Z"/>
        <d v="2017-03-13T00:00:00Z"/>
        <d v="2017-03-24T00:00:00Z"/>
        <d v="2017-03-27T00:00:00Z"/>
        <d v="2017-04-26T00:00:00Z"/>
        <d v="2017-04-27T00:00:00Z"/>
        <d v="2017-05-02T00:00:00Z"/>
        <d v="2017-05-09T00:00:00Z"/>
        <d v="2017-06-08T00:00:00Z"/>
        <d v="2017-07-13T00:00:00Z"/>
        <d v="2017-07-21T00:00:00Z"/>
        <d v="2017-09-13T00:00:00Z"/>
        <d v="2017-09-14T00:00:00Z"/>
        <d v="2017-10-13T00:00:00Z"/>
        <d v="2017-11-03T00:00:00Z"/>
        <d v="2013-12-08T00:00:00Z"/>
        <d v="2014-03-19T00:00:00Z"/>
        <d v="2014-09-27T00:00:00Z"/>
        <d v="2014-10-07T00:00:00Z"/>
        <d v="2014-10-24T00:00:00Z"/>
        <d v="2014-11-07T00:00:00Z"/>
        <d v="2014-12-01T00:00:00Z"/>
        <d v="2014-12-02T00:00:00Z"/>
        <d v="2014-12-07T00:00:00Z"/>
        <d v="2015-02-05T00:00:00Z"/>
        <d v="2015-04-18T00:00:00Z"/>
        <d v="2015-04-21T00:00:00Z"/>
        <d v="2015-05-06T00:00:00Z"/>
        <d v="2015-05-07T00:00:00Z"/>
        <d v="2015-05-16T00:00:00Z"/>
        <d v="2015-05-22T00:00:00Z"/>
        <d v="2015-05-26T00:00:00Z"/>
        <d v="2015-05-30T00:00:00Z"/>
        <d v="2015-06-12T00:00:00Z"/>
        <d v="2015-06-01T00:00:00Z"/>
        <d v="2015-06-04T00:00:00Z"/>
        <d v="2015-06-14T00:00:00Z"/>
        <d v="2015-06-16T00:00:00Z"/>
        <d v="2015-06-25T00:00:00Z"/>
        <d v="2015-07-02T00:00:00Z"/>
        <d v="2015-07-05T00:00:00Z"/>
        <d v="2015-07-07T00:00:00Z"/>
        <d v="2015-07-23T00:00:00Z"/>
        <d v="2015-07-31T00:00:00Z"/>
        <d v="2015-08-10T00:00:00Z"/>
        <d v="2015-08-25T00:00:00Z"/>
        <d v="2015-08-26T00:00:00Z"/>
        <d v="2015-09-07T00:00:00Z"/>
        <d v="2015-09-11T00:00:00Z"/>
        <d v="2015-09-19T00:00:00Z"/>
        <d v="2015-09-25T00:00:00Z"/>
        <d v="2015-08-31T00:00:00Z"/>
        <d v="2015-09-01T00:00:00Z"/>
        <d v="2015-10-02T00:00:00Z"/>
        <d v="2015-10-11T00:00:00Z"/>
        <d v="2015-09-21T00:00:00Z"/>
        <d v="2015-10-27T00:00:00Z"/>
        <d v="2015-10-15T00:00:00Z"/>
        <d v="2015-10-23T00:00:00Z"/>
        <d v="2015-10-29T00:00:00Z"/>
        <d v="2015-10-31T00:00:00Z"/>
        <d v="2015-11-05T00:00:00Z"/>
        <d v="2015-11-06T00:00:00Z"/>
        <d v="2015-11-12T00:00:00Z"/>
        <m/>
      </sharedItems>
    </cacheField>
    <cacheField name="Pivot dates" numFmtId="0">
      <sharedItems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</sharedItems>
    </cacheField>
    <cacheField name="Pivot release dates" numFmtId="0">
      <sharedItems containsBlank="1">
        <s v="2013-12"/>
        <s v="2014-01"/>
        <s v="2014-02"/>
        <s v="2014-03"/>
        <s v="2014-04"/>
        <s v="2014-06"/>
        <s v="2014-07"/>
        <s v="2015-11"/>
        <s v="2015-12"/>
        <s v="2016-01"/>
        <s v="2016-02"/>
        <s v="2016-03"/>
        <s v="2016-04"/>
        <s v="2016-05"/>
        <s v="2016-06"/>
        <s v="2016-09"/>
        <s v="2016-07"/>
        <s v="2016-08"/>
        <s v="2016-10"/>
        <s v="2016-11"/>
        <s v="2016-12"/>
        <s v="2017-01"/>
        <s v="2017-02"/>
        <s v="2017-03"/>
        <s v="2017-04"/>
        <s v="2017-05"/>
        <s v="2017-06"/>
        <s v="2017-07"/>
        <s v="2017-09"/>
        <s v="2017-10"/>
        <s v="2017-11"/>
        <s v="2014-09"/>
        <s v="2014-10"/>
        <s v="2014-11"/>
        <s v="2014-12"/>
        <s v="2015-02"/>
        <s v="2015-04"/>
        <s v="2015-05"/>
        <s v="2015-06"/>
        <s v="2015-07"/>
        <s v="2015-08"/>
        <s v="2015-09"/>
        <s v="2015-1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L93:P791" sheet="Raw"/>
  </cacheSource>
  <cacheFields>
    <cacheField name="Date" numFmtId="167">
      <sharedItems containsSemiMixedTypes="0" containsDate="1" containsString="0">
        <d v="2011-12-12T00:00:00Z"/>
        <d v="2011-12-13T00:00:00Z"/>
        <d v="2011-12-14T00:00:00Z"/>
        <d v="2011-12-15T00:00:00Z"/>
        <d v="2011-12-18T00:00:00Z"/>
        <d v="2011-12-19T00:00:00Z"/>
        <d v="2011-12-20T00:00:00Z"/>
        <d v="2011-12-21T00:00:00Z"/>
        <d v="2011-12-22T00:00:00Z"/>
        <d v="2011-12-25T00:00:00Z"/>
        <d v="2011-12-26T00:00:00Z"/>
        <d v="2011-12-27T00:00:00Z"/>
        <d v="2011-12-28T00:00:00Z"/>
        <d v="2012-01-03T00:00:00Z"/>
        <d v="2012-01-04T00:00:00Z"/>
        <d v="2012-01-08T00:00:00Z"/>
        <d v="2012-01-09T00:00:00Z"/>
        <d v="2012-01-10T00:00:00Z"/>
        <d v="2012-01-11T00:00:00Z"/>
        <d v="2012-01-16T00:00:00Z"/>
        <d v="2012-01-17T00:00:00Z"/>
        <d v="2012-01-18T00:00:00Z"/>
        <d v="2012-01-22T00:00:00Z"/>
        <d v="2012-01-23T00:00:00Z"/>
        <d v="2012-01-24T00:00:00Z"/>
        <d v="2012-01-25T00:00:00Z"/>
        <d v="2012-01-26T00:00:00Z"/>
        <d v="2012-01-29T00:00:00Z"/>
        <d v="2012-01-30T00:00:00Z"/>
        <d v="2012-01-31T00:00:00Z"/>
        <d v="2012-02-01T00:00:00Z"/>
        <d v="2012-02-05T00:00:00Z"/>
        <d v="2012-02-06T00:00:00Z"/>
        <d v="2012-02-07T00:00:00Z"/>
        <d v="2012-02-08T00:00:00Z"/>
        <d v="2012-02-09T00:00:00Z"/>
        <d v="2012-02-12T00:00:00Z"/>
        <d v="2012-02-13T00:00:00Z"/>
        <d v="2012-02-14T00:00:00Z"/>
        <d v="2012-02-15T00:00:00Z"/>
        <d v="2012-02-16T00:00:00Z"/>
        <d v="2012-02-22T00:00:00Z"/>
        <d v="2012-02-26T00:00:00Z"/>
        <d v="2012-02-27T00:00:00Z"/>
        <d v="2012-02-28T00:00:00Z"/>
        <d v="2012-02-29T00:00:00Z"/>
        <d v="2012-03-05T00:00:00Z"/>
        <d v="2012-03-06T00:00:00Z"/>
        <d v="2012-03-07T00:00:00Z"/>
        <d v="2012-03-11T00:00:00Z"/>
        <d v="2012-03-12T00:00:00Z"/>
        <d v="2012-03-13T00:00:00Z"/>
        <d v="2012-03-14T00:00:00Z"/>
        <d v="2012-03-18T00:00:00Z"/>
        <d v="2012-03-19T00:00:00Z"/>
        <d v="2012-03-20T00:00:00Z"/>
        <d v="2012-03-21T00:00:00Z"/>
        <d v="2012-03-25T00:00:00Z"/>
        <d v="2012-03-26T00:00:00Z"/>
        <d v="2012-03-27T00:00:00Z"/>
        <d v="2012-03-28T00:00:00Z"/>
        <d v="2012-04-01T00:00:00Z"/>
        <d v="2012-04-02T00:00:00Z"/>
        <d v="2012-04-03T00:00:00Z"/>
        <d v="2012-04-04T00:00:00Z"/>
        <d v="2012-04-05T00:00:00Z"/>
        <d v="2012-04-09T00:00:00Z"/>
        <d v="2012-04-10T00:00:00Z"/>
        <d v="2012-04-11T00:00:00Z"/>
        <d v="2012-04-12T00:00:00Z"/>
        <d v="2012-04-15T00:00:00Z"/>
        <d v="2012-04-16T00:00:00Z"/>
        <d v="2012-04-17T00:00:00Z"/>
        <d v="2012-04-18T00:00:00Z"/>
        <d v="2012-04-19T00:00:00Z"/>
        <d v="2012-04-22T00:00:00Z"/>
        <d v="2012-04-23T00:00:00Z"/>
        <d v="2012-04-24T00:00:00Z"/>
        <d v="2012-04-25T00:00:00Z"/>
        <d v="2012-04-29T00:00:00Z"/>
        <d v="2012-04-30T00:00:00Z"/>
        <d v="2012-05-01T00:00:00Z"/>
        <d v="2012-05-02T00:00:00Z"/>
        <d v="2012-05-03T00:00:00Z"/>
        <d v="2012-05-07T00:00:00Z"/>
        <d v="2012-05-08T00:00:00Z"/>
        <d v="2012-05-09T00:00:00Z"/>
        <d v="2012-05-14T00:00:00Z"/>
        <d v="2012-05-15T00:00:00Z"/>
        <d v="2012-05-16T00:00:00Z"/>
        <d v="2012-05-23T00:00:00Z"/>
        <d v="2012-05-24T00:00:00Z"/>
        <d v="2012-05-29T00:00:00Z"/>
        <d v="2012-05-30T00:00:00Z"/>
        <d v="2012-05-31T00:00:00Z"/>
        <d v="2012-06-05T00:00:00Z"/>
        <d v="2012-06-06T00:00:00Z"/>
        <d v="2012-06-07T00:00:00Z"/>
        <d v="2012-06-13T00:00:00Z"/>
        <d v="2012-06-14T00:00:00Z"/>
        <d v="2012-06-18T00:00:00Z"/>
        <d v="2012-06-19T00:00:00Z"/>
        <d v="2012-06-20T00:00:00Z"/>
        <d v="2012-06-21T00:00:00Z"/>
        <d v="2012-06-24T00:00:00Z"/>
        <d v="2012-06-25T00:00:00Z"/>
        <d v="2012-06-26T00:00:00Z"/>
        <d v="2012-06-27T00:00:00Z"/>
        <d v="2012-06-28T00:00:00Z"/>
        <d v="2012-07-01T00:00:00Z"/>
        <d v="2012-07-02T00:00:00Z"/>
        <d v="2012-07-03T00:00:00Z"/>
        <d v="2012-07-04T00:00:00Z"/>
        <d v="2012-07-05T00:00:00Z"/>
        <d v="2012-07-08T00:00:00Z"/>
        <d v="2012-07-09T00:00:00Z"/>
        <d v="2012-07-10T00:00:00Z"/>
        <d v="2012-07-11T00:00:00Z"/>
        <d v="2012-07-12T00:00:00Z"/>
        <d v="2012-07-16T00:00:00Z"/>
        <d v="2012-07-17T00:00:00Z"/>
        <d v="2012-07-18T00:00:00Z"/>
        <d v="2012-07-19T00:00:00Z"/>
        <d v="2012-07-22T00:00:00Z"/>
        <d v="2012-07-23T00:00:00Z"/>
        <d v="2012-07-24T00:00:00Z"/>
        <d v="2012-07-25T00:00:00Z"/>
        <d v="2012-07-30T00:00:00Z"/>
        <d v="2012-07-31T00:00:00Z"/>
        <d v="2012-08-01T00:00:00Z"/>
        <d v="2012-08-02T00:00:00Z"/>
        <d v="2012-08-08T00:00:00Z"/>
        <d v="2012-08-14T00:00:00Z"/>
        <d v="2012-08-15T00:00:00Z"/>
        <d v="2012-08-21T00:00:00Z"/>
        <d v="2012-08-22T00:00:00Z"/>
        <d v="2012-08-23T00:00:00Z"/>
        <d v="2012-08-28T00:00:00Z"/>
        <d v="2012-08-29T00:00:00Z"/>
        <d v="2012-09-04T00:00:00Z"/>
        <d v="2012-09-05T00:00:00Z"/>
        <d v="2012-09-10T00:00:00Z"/>
        <d v="2012-09-11T00:00:00Z"/>
        <d v="2012-09-12T00:00:00Z"/>
        <d v="2012-09-17T00:00:00Z"/>
        <d v="2012-09-18T00:00:00Z"/>
        <d v="2012-09-19T00:00:00Z"/>
        <d v="2012-09-20T00:00:00Z"/>
        <d v="2012-09-24T00:00:00Z"/>
        <d v="2012-09-25T00:00:00Z"/>
        <d v="2012-09-26T00:00:00Z"/>
        <d v="2012-09-30T00:00:00Z"/>
        <d v="2012-10-01T00:00:00Z"/>
        <d v="2012-10-02T00:00:00Z"/>
        <d v="2012-10-03T00:00:00Z"/>
        <d v="2012-10-08T00:00:00Z"/>
        <d v="2012-10-09T00:00:00Z"/>
        <d v="2012-10-10T00:00:00Z"/>
        <d v="2012-10-15T00:00:00Z"/>
        <d v="2012-10-16T00:00:00Z"/>
        <d v="2012-10-17T00:00:00Z"/>
        <d v="2012-10-22T00:00:00Z"/>
        <d v="2012-10-23T00:00:00Z"/>
        <d v="2012-10-24T00:00:00Z"/>
        <d v="2012-10-25T00:00:00Z"/>
        <d v="2012-10-29T00:00:00Z"/>
        <d v="2012-10-30T00:00:00Z"/>
        <d v="2012-10-31T00:00:00Z"/>
        <d v="2012-11-04T00:00:00Z"/>
        <d v="2012-11-05T00:00:00Z"/>
        <d v="2012-11-06T00:00:00Z"/>
        <d v="2012-11-07T00:00:00Z"/>
        <d v="2012-11-13T00:00:00Z"/>
        <d v="2012-11-14T00:00:00Z"/>
        <d v="2012-11-15T00:00:00Z"/>
        <d v="2012-11-20T00:00:00Z"/>
        <d v="2012-11-21T00:00:00Z"/>
        <d v="2012-11-22T00:00:00Z"/>
        <d v="2012-11-25T00:00:00Z"/>
        <d v="2012-11-26T00:00:00Z"/>
        <d v="2012-11-27T00:00:00Z"/>
        <d v="2012-11-28T00:00:00Z"/>
        <d v="2012-12-04T00:00:00Z"/>
        <d v="2012-12-05T00:00:00Z"/>
        <d v="2012-12-11T00:00:00Z"/>
        <d v="2012-12-12T00:00:00Z"/>
        <d v="2012-12-16T00:00:00Z"/>
        <d v="2012-12-17T00:00:00Z"/>
        <d v="2012-12-18T00:00:00Z"/>
        <d v="2012-12-19T00:00:00Z"/>
        <d v="2012-12-20T00:00:00Z"/>
        <d v="2012-12-23T00:00:00Z"/>
        <d v="2012-12-24T00:00:00Z"/>
        <d v="2012-12-25T00:00:00Z"/>
        <d v="2012-12-26T00:00:00Z"/>
        <d v="2013-01-02T00:00:00Z"/>
        <d v="2013-01-07T00:00:00Z"/>
        <d v="2013-01-08T00:00:00Z"/>
        <d v="2013-01-09T00:00:00Z"/>
        <d v="2013-01-14T00:00:00Z"/>
        <d v="2013-01-15T00:00:00Z"/>
        <d v="2013-01-16T00:00:00Z"/>
        <d v="2013-01-23T00:00:00Z"/>
        <d v="2013-01-30T00:00:00Z"/>
        <d v="2013-01-31T00:00:00Z"/>
        <d v="2013-02-06T00:00:00Z"/>
        <d v="2013-02-07T00:00:00Z"/>
        <d v="2013-02-13T00:00:00Z"/>
        <d v="2013-02-14T00:00:00Z"/>
        <d v="2013-02-20T00:00:00Z"/>
        <d v="2013-02-27T00:00:00Z"/>
        <d v="2013-02-28T00:00:00Z"/>
        <d v="2013-03-06T00:00:00Z"/>
        <d v="2013-03-07T00:00:00Z"/>
        <d v="2013-03-12T00:00:00Z"/>
        <d v="2013-03-13T00:00:00Z"/>
        <d v="2013-03-20T00:00:00Z"/>
        <d v="2013-03-21T00:00:00Z"/>
        <d v="2013-03-27T00:00:00Z"/>
        <d v="2013-03-28T00:00:00Z"/>
        <d v="2013-04-03T00:00:00Z"/>
        <d v="2013-04-04T00:00:00Z"/>
        <d v="2013-04-10T00:00:00Z"/>
        <d v="2013-04-11T00:00:00Z"/>
        <d v="2013-04-17T00:00:00Z"/>
        <d v="2013-04-18T00:00:00Z"/>
        <d v="2013-04-24T00:00:00Z"/>
        <d v="2013-04-25T00:00:00Z"/>
        <d v="2013-04-30T00:00:00Z"/>
        <d v="2013-05-01T00:00:00Z"/>
        <d v="2013-05-02T00:00:00Z"/>
        <d v="2013-05-07T00:00:00Z"/>
        <d v="2013-05-08T00:00:00Z"/>
        <d v="2013-05-09T00:00:00Z"/>
        <d v="2013-05-15T00:00:00Z"/>
        <d v="2013-05-16T00:00:00Z"/>
        <d v="2013-05-22T00:00:00Z"/>
        <d v="2013-05-23T00:00:00Z"/>
        <d v="2013-05-29T00:00:00Z"/>
        <d v="2013-05-30T00:00:00Z"/>
        <d v="2013-06-05T00:00:00Z"/>
        <d v="2013-06-06T00:00:00Z"/>
        <d v="2013-06-12T00:00:00Z"/>
        <d v="2013-06-13T00:00:00Z"/>
        <d v="2013-06-19T00:00:00Z"/>
        <d v="2013-06-20T00:00:00Z"/>
        <d v="2013-06-26T00:00:00Z"/>
        <d v="2013-06-27T00:00:00Z"/>
        <d v="2013-07-03T00:00:00Z"/>
        <d v="2013-07-04T00:00:00Z"/>
        <d v="2013-07-10T00:00:00Z"/>
        <d v="2013-07-11T00:00:00Z"/>
        <d v="2013-07-17T00:00:00Z"/>
        <d v="2013-07-18T00:00:00Z"/>
        <d v="2013-07-24T00:00:00Z"/>
        <d v="2013-07-25T00:00:00Z"/>
        <d v="2013-07-31T00:00:00Z"/>
        <d v="2013-08-01T00:00:00Z"/>
        <d v="2013-08-07T00:00:00Z"/>
        <d v="2013-08-08T00:00:00Z"/>
        <d v="2013-08-14T00:00:00Z"/>
        <d v="2013-08-15T00:00:00Z"/>
        <d v="2013-08-21T00:00:00Z"/>
        <d v="2013-08-22T00:00:00Z"/>
        <d v="2013-08-28T00:00:00Z"/>
        <d v="2013-08-29T00:00:00Z"/>
        <d v="2013-09-04T00:00:00Z"/>
        <d v="2013-09-05T00:00:00Z"/>
        <d v="2013-09-11T00:00:00Z"/>
        <d v="2013-09-12T00:00:00Z"/>
        <d v="2013-09-18T00:00:00Z"/>
        <d v="2013-09-19T00:00:00Z"/>
        <d v="2013-09-25T00:00:00Z"/>
        <d v="2013-09-26T00:00:00Z"/>
        <d v="2013-10-02T00:00:00Z"/>
        <d v="2013-10-03T00:00:00Z"/>
        <d v="2013-10-09T00:00:00Z"/>
        <d v="2013-10-10T00:00:00Z"/>
        <d v="2013-10-16T00:00:00Z"/>
        <d v="2013-10-17T00:00:00Z"/>
        <d v="2013-10-23T00:00:00Z"/>
        <d v="2013-10-30T00:00:00Z"/>
        <d v="2013-10-31T00:00:00Z"/>
        <d v="2013-11-06T00:00:00Z"/>
        <d v="2013-11-13T00:00:00Z"/>
        <d v="2013-11-14T00:00:00Z"/>
        <d v="2013-11-19T00:00:00Z"/>
        <d v="2013-11-20T00:00:00Z"/>
        <d v="2013-11-21T00:00:00Z"/>
        <d v="2013-11-27T00:00:00Z"/>
        <d v="2013-12-04T00:00:00Z"/>
        <d v="2013-12-05T00:00:00Z"/>
        <d v="2013-12-11T00:00:00Z"/>
        <d v="2013-12-12T00:00:00Z"/>
        <d v="2013-12-18T00:00:00Z"/>
        <d v="2013-12-19T00:00:00Z"/>
        <d v="2013-12-24T00:00:00Z"/>
        <d v="2013-12-25T00:00:00Z"/>
        <d v="2013-12-26T00:00:00Z"/>
        <d v="2013-12-31T00:00:00Z"/>
        <d v="2014-01-01T00:00:00Z"/>
        <d v="2014-01-08T00:00:00Z"/>
        <d v="2014-01-09T00:00:00Z"/>
        <d v="2014-01-15T00:00:00Z"/>
        <d v="2014-01-16T00:00:00Z"/>
        <d v="2014-01-22T00:00:00Z"/>
        <d v="2014-01-23T00:00:00Z"/>
        <d v="2014-01-29T00:00:00Z"/>
        <d v="2014-02-05T00:00:00Z"/>
        <d v="2014-02-06T00:00:00Z"/>
        <d v="2014-02-12T00:00:00Z"/>
        <d v="2014-02-13T00:00:00Z"/>
        <d v="2014-02-19T00:00:00Z"/>
        <d v="2014-02-20T00:00:00Z"/>
        <d v="2014-02-26T00:00:00Z"/>
        <d v="2014-02-27T00:00:00Z"/>
        <d v="2014-03-05T00:00:00Z"/>
        <d v="2014-03-06T00:00:00Z"/>
        <d v="2014-03-12T00:00:00Z"/>
        <d v="2014-03-13T00:00:00Z"/>
        <d v="2014-03-19T00:00:00Z"/>
        <d v="2014-03-20T00:00:00Z"/>
        <d v="2014-03-26T00:00:00Z"/>
        <d v="2014-03-27T00:00:00Z"/>
        <d v="2014-04-02T00:00:00Z"/>
        <d v="2014-04-03T00:00:00Z"/>
        <d v="2014-04-09T00:00:00Z"/>
        <d v="2014-04-10T00:00:00Z"/>
        <d v="2014-04-16T00:00:00Z"/>
        <d v="2014-04-17T00:00:00Z"/>
        <d v="2014-04-23T00:00:00Z"/>
        <d v="2014-04-24T00:00:00Z"/>
        <d v="2014-04-30T00:00:00Z"/>
        <d v="2014-05-01T00:00:00Z"/>
        <d v="2014-05-07T00:00:00Z"/>
        <d v="2014-05-08T00:00:00Z"/>
        <d v="2014-05-14T00:00:00Z"/>
        <d v="2014-05-15T00:00:00Z"/>
        <d v="2014-05-21T00:00:00Z"/>
        <d v="2014-05-22T00:00:00Z"/>
        <d v="2014-05-28T00:00:00Z"/>
        <d v="2014-05-29T00:00:00Z"/>
        <d v="2014-06-04T00:00:00Z"/>
        <d v="2014-06-05T00:00:00Z"/>
        <d v="2014-06-11T00:00:00Z"/>
        <d v="2014-06-12T00:00:00Z"/>
        <d v="2014-06-18T00:00:00Z"/>
        <d v="2014-06-19T00:00:00Z"/>
        <d v="2014-06-25T00:00:00Z"/>
        <d v="2014-06-26T00:00:00Z"/>
        <d v="2014-07-02T00:00:00Z"/>
        <d v="2014-07-03T00:00:00Z"/>
        <d v="2014-07-09T00:00:00Z"/>
        <d v="2014-07-10T00:00:00Z"/>
        <d v="2014-07-16T00:00:00Z"/>
        <d v="2014-07-17T00:00:00Z"/>
        <d v="2014-07-23T00:00:00Z"/>
        <d v="2014-07-24T00:00:00Z"/>
        <d v="2014-07-30T00:00:00Z"/>
        <d v="2014-07-31T00:00:00Z"/>
        <d v="2014-08-06T00:00:00Z"/>
        <d v="2014-08-07T00:00:00Z"/>
        <d v="2014-08-13T00:00:00Z"/>
        <d v="2014-08-14T00:00:00Z"/>
        <d v="2014-08-20T00:00:00Z"/>
        <d v="2014-08-21T00:00:00Z"/>
        <d v="2014-08-27T00:00:00Z"/>
        <d v="2014-08-28T00:00:00Z"/>
        <d v="2014-09-03T00:00:00Z"/>
        <d v="2014-09-04T00:00:00Z"/>
        <d v="2014-09-10T00:00:00Z"/>
        <d v="2014-09-11T00:00:00Z"/>
        <d v="2014-09-17T00:00:00Z"/>
        <d v="2014-09-18T00:00:00Z"/>
        <d v="2014-09-24T00:00:00Z"/>
        <d v="2014-09-25T00:00:00Z"/>
        <d v="2014-10-01T00:00:00Z"/>
        <d v="2014-10-02T00:00:00Z"/>
        <d v="2014-10-08T00:00:00Z"/>
        <d v="2014-10-09T00:00:00Z"/>
        <d v="2014-10-15T00:00:00Z"/>
        <d v="2014-10-16T00:00:00Z"/>
        <d v="2014-10-22T00:00:00Z"/>
        <d v="2014-10-23T00:00:00Z"/>
        <d v="2014-10-29T00:00:00Z"/>
        <d v="2014-10-30T00:00:00Z"/>
        <d v="2014-11-05T00:00:00Z"/>
        <d v="2014-11-06T00:00:00Z"/>
        <d v="2014-11-12T00:00:00Z"/>
        <d v="2014-11-13T00:00:00Z"/>
        <d v="2014-11-19T00:00:00Z"/>
        <d v="2014-11-20T00:00:00Z"/>
        <d v="2014-11-26T00:00:00Z"/>
        <d v="2014-11-27T00:00:00Z"/>
        <d v="2014-12-03T00:00:00Z"/>
        <d v="2014-12-10T00:00:00Z"/>
        <d v="2014-12-11T00:00:00Z"/>
        <d v="2014-12-17T00:00:00Z"/>
        <d v="2014-12-18T00:00:00Z"/>
        <d v="2014-12-24T00:00:00Z"/>
        <d v="2014-12-25T00:00:00Z"/>
        <d v="2014-12-31T00:00:00Z"/>
        <d v="2015-01-01T00:00:00Z"/>
        <d v="2015-01-07T00:00:00Z"/>
        <d v="2015-01-08T00:00:00Z"/>
        <d v="2015-01-14T00:00:00Z"/>
        <d v="2015-01-15T00:00:00Z"/>
        <d v="2015-01-21T00:00:00Z"/>
        <d v="2015-01-22T00:00:00Z"/>
        <d v="2015-01-28T00:00:00Z"/>
        <d v="2015-01-29T00:00:00Z"/>
        <d v="2015-02-04T00:00:00Z"/>
        <d v="2015-02-05T00:00:00Z"/>
        <d v="2015-02-11T00:00:00Z"/>
        <d v="2015-02-12T00:00:00Z"/>
        <d v="2015-02-18T00:00:00Z"/>
        <d v="2015-02-19T00:00:00Z"/>
        <d v="2015-02-25T00:00:00Z"/>
        <d v="2015-02-26T00:00:00Z"/>
        <d v="2015-03-04T00:00:00Z"/>
        <d v="2015-03-05T00:00:00Z"/>
        <d v="2015-03-11T00:00:00Z"/>
        <d v="2015-03-12T00:00:00Z"/>
        <d v="2015-03-18T00:00:00Z"/>
        <d v="2015-03-19T00:00:00Z"/>
        <d v="2015-03-25T00:00:00Z"/>
        <d v="2015-03-26T00:00:00Z"/>
        <d v="2015-04-01T00:00:00Z"/>
        <d v="2015-04-02T00:00:00Z"/>
        <d v="2015-04-08T00:00:00Z"/>
        <d v="2015-04-09T00:00:00Z"/>
        <d v="2015-04-15T00:00:00Z"/>
        <d v="2015-04-16T00:00:00Z"/>
        <d v="2015-04-22T00:00:00Z"/>
        <d v="2015-04-23T00:00:00Z"/>
        <d v="2015-04-29T00:00:00Z"/>
        <d v="2015-04-30T00:00:00Z"/>
        <d v="2015-05-06T00:00:00Z"/>
        <d v="2015-05-07T00:00:00Z"/>
        <d v="2015-05-13T00:00:00Z"/>
        <d v="2015-05-14T00:00:00Z"/>
        <d v="2015-05-20T00:00:00Z"/>
        <d v="2015-05-21T00:00:00Z"/>
        <d v="2015-05-27T00:00:00Z"/>
        <d v="2015-05-28T00:00:00Z"/>
        <d v="2015-06-03T00:00:00Z"/>
        <d v="2015-06-04T00:00:00Z"/>
        <d v="2015-06-10T00:00:00Z"/>
        <d v="2015-06-11T00:00:00Z"/>
        <d v="2015-06-17T00:00:00Z"/>
        <d v="2015-06-18T00:00:00Z"/>
        <d v="2015-06-24T00:00:00Z"/>
        <d v="2015-06-25T00:00:00Z"/>
        <d v="2015-07-01T00:00:00Z"/>
        <d v="2015-07-08T00:00:00Z"/>
        <d v="2015-07-09T00:00:00Z"/>
        <d v="2015-07-15T00:00:00Z"/>
        <d v="2015-07-16T00:00:00Z"/>
        <d v="2015-07-22T00:00:00Z"/>
        <d v="2015-07-23T00:00:00Z"/>
        <d v="2015-07-29T00:00:00Z"/>
        <d v="2015-07-30T00:00:00Z"/>
        <d v="2015-08-05T00:00:00Z"/>
        <d v="2015-08-06T00:00:00Z"/>
        <d v="2015-08-12T00:00:00Z"/>
        <d v="2015-08-13T00:00:00Z"/>
        <d v="2015-08-19T00:00:00Z"/>
        <d v="2015-08-20T00:00:00Z"/>
        <d v="2015-08-26T00:00:00Z"/>
        <d v="2015-08-27T00:00:00Z"/>
        <d v="2015-09-02T00:00:00Z"/>
        <d v="2015-09-03T00:00:00Z"/>
        <d v="2015-09-09T00:00:00Z"/>
        <d v="2015-09-10T00:00:00Z"/>
        <d v="2015-09-16T00:00:00Z"/>
        <d v="2015-09-17T00:00:00Z"/>
        <d v="2015-09-23T00:00:00Z"/>
        <d v="2015-09-24T00:00:00Z"/>
        <d v="2015-09-30T00:00:00Z"/>
        <d v="2015-10-01T00:00:00Z"/>
        <d v="2015-10-07T00:00:00Z"/>
        <d v="2015-10-08T00:00:00Z"/>
        <d v="2015-10-14T00:00:00Z"/>
        <d v="2015-10-15T00:00:00Z"/>
        <d v="2015-10-21T00:00:00Z"/>
        <d v="2015-10-28T00:00:00Z"/>
        <d v="2015-10-29T00:00:00Z"/>
        <d v="2015-11-04T00:00:00Z"/>
        <d v="2015-11-11T00:00:00Z"/>
        <d v="2015-11-18T00:00:00Z"/>
        <d v="2015-11-25T00:00:00Z"/>
        <d v="2015-12-02T00:00:00Z"/>
        <d v="2015-12-09T00:00:00Z"/>
        <d v="2015-12-10T00:00:00Z"/>
        <d v="2015-12-16T00:00:00Z"/>
        <d v="2015-12-23T00:00:00Z"/>
        <d v="2015-12-30T00:00:00Z"/>
        <d v="2016-01-06T00:00:00Z"/>
        <d v="2016-01-07T00:00:00Z"/>
        <d v="2016-01-13T00:00:00Z"/>
        <d v="2016-01-14T00:00:00Z"/>
        <d v="2016-01-20T00:00:00Z"/>
        <d v="2016-01-21T00:00:00Z"/>
        <d v="2016-01-27T00:00:00Z"/>
        <d v="2016-01-28T00:00:00Z"/>
        <d v="2016-02-03T00:00:00Z"/>
        <d v="2016-02-04T00:00:00Z"/>
        <d v="2016-02-10T00:00:00Z"/>
        <d v="2016-02-11T00:00:00Z"/>
        <d v="2016-02-17T00:00:00Z"/>
        <d v="2016-02-18T00:00:00Z"/>
        <d v="2016-02-24T00:00:00Z"/>
        <d v="2016-02-25T00:00:00Z"/>
        <d v="2016-03-02T00:00:00Z"/>
        <d v="2016-03-09T00:00:00Z"/>
        <d v="2016-03-10T00:00:00Z"/>
        <d v="2016-03-16T00:00:00Z"/>
        <d v="2016-03-17T00:00:00Z"/>
        <d v="2016-03-23T00:00:00Z"/>
        <d v="2016-03-30T00:00:00Z"/>
        <d v="2016-03-31T00:00:00Z"/>
        <d v="2016-04-06T00:00:00Z"/>
        <d v="2016-04-07T00:00:00Z"/>
        <d v="2016-04-13T00:00:00Z"/>
        <d v="2016-04-14T00:00:00Z"/>
        <d v="2016-04-20T00:00:00Z"/>
        <d v="2016-04-21T00:00:00Z"/>
        <d v="2016-04-27T00:00:00Z"/>
        <d v="2016-04-28T00:00:00Z"/>
        <d v="2016-05-04T00:00:00Z"/>
        <d v="2016-05-05T00:00:00Z"/>
        <d v="2016-05-11T00:00:00Z"/>
        <d v="2016-05-12T00:00:00Z"/>
        <d v="2016-05-18T00:00:00Z"/>
        <d v="2016-05-19T00:00:00Z"/>
        <d v="2016-05-25T00:00:00Z"/>
        <d v="2016-05-26T00:00:00Z"/>
        <d v="2016-06-01T00:00:00Z"/>
        <d v="2016-06-02T00:00:00Z"/>
        <d v="2016-06-08T00:00:00Z"/>
        <d v="2016-06-09T00:00:00Z"/>
        <d v="2016-06-15T00:00:00Z"/>
        <d v="2016-06-16T00:00:00Z"/>
        <d v="2016-06-22T00:00:00Z"/>
        <d v="2016-06-23T00:00:00Z"/>
        <d v="2016-06-29T00:00:00Z"/>
        <d v="2016-06-30T00:00:00Z"/>
        <d v="2016-07-06T00:00:00Z"/>
        <d v="2016-07-07T00:00:00Z"/>
        <d v="2016-07-13T00:00:00Z"/>
        <d v="2016-07-14T00:00:00Z"/>
        <d v="2016-07-20T00:00:00Z"/>
        <d v="2016-07-21T00:00:00Z"/>
        <d v="2016-07-27T00:00:00Z"/>
        <d v="2016-07-28T00:00:00Z"/>
        <d v="2016-08-03T00:00:00Z"/>
        <d v="2016-08-04T00:00:00Z"/>
        <d v="2016-08-10T00:00:00Z"/>
        <d v="2016-08-11T00:00:00Z"/>
        <d v="2016-08-17T00:00:00Z"/>
        <d v="2016-08-18T00:00:00Z"/>
        <d v="2016-08-23T00:00:00Z"/>
        <d v="2016-08-24T00:00:00Z"/>
        <d v="2016-08-31T00:00:00Z"/>
        <d v="2016-09-01T00:00:00Z"/>
        <d v="2016-09-07T00:00:00Z"/>
        <d v="2016-09-08T00:00:00Z"/>
        <d v="2016-09-14T00:00:00Z"/>
        <d v="2016-09-15T00:00:00Z"/>
        <d v="2016-09-20T00:00:00Z"/>
        <d v="2016-09-21T00:00:00Z"/>
        <d v="2016-09-28T00:00:00Z"/>
        <d v="2016-09-29T00:00:00Z"/>
        <d v="2016-10-05T00:00:00Z"/>
        <d v="2016-10-06T00:00:00Z"/>
        <d v="2016-10-12T00:00:00Z"/>
        <d v="2016-10-13T00:00:00Z"/>
        <d v="2016-10-19T00:00:00Z"/>
        <d v="2016-10-20T00:00:00Z"/>
        <d v="2016-10-26T00:00:00Z"/>
        <d v="2016-10-27T00:00:00Z"/>
        <d v="2016-11-02T00:00:00Z"/>
        <d v="2016-11-03T00:00:00Z"/>
        <d v="2016-11-09T00:00:00Z"/>
        <d v="2016-11-10T00:00:00Z"/>
        <d v="2016-11-16T00:00:00Z"/>
        <d v="2016-11-17T00:00:00Z"/>
        <d v="2016-11-23T00:00:00Z"/>
        <d v="2016-11-24T00:00:00Z"/>
        <d v="2016-11-30T00:00:00Z"/>
        <d v="2016-12-01T00:00:00Z"/>
        <d v="2016-12-07T00:00:00Z"/>
        <d v="2016-12-14T00:00:00Z"/>
        <d v="2016-12-15T00:00:00Z"/>
        <d v="2016-12-21T00:00:00Z"/>
        <d v="2016-12-22T00:00:00Z"/>
        <d v="2016-12-27T00:00:00Z"/>
        <d v="2016-12-28T00:00:00Z"/>
        <d v="2017-01-04T00:00:00Z"/>
        <d v="2017-01-05T00:00:00Z"/>
        <d v="2017-01-11T00:00:00Z"/>
        <d v="2017-01-12T00:00:00Z"/>
        <d v="2017-01-17T00:00:00Z"/>
        <d v="2017-01-18T00:00:00Z"/>
        <d v="2017-01-24T00:00:00Z"/>
        <d v="2017-01-25T00:00:00Z"/>
        <d v="2017-01-31T00:00:00Z"/>
        <d v="2017-02-01T00:00:00Z"/>
        <d v="2017-02-02T00:00:00Z"/>
        <d v="2017-02-07T00:00:00Z"/>
        <d v="2017-02-08T00:00:00Z"/>
        <d v="2017-02-14T00:00:00Z"/>
        <d v="2017-02-15T00:00:00Z"/>
        <d v="2017-02-16T00:00:00Z"/>
        <d v="2017-02-21T00:00:00Z"/>
        <d v="2017-02-22T00:00:00Z"/>
        <d v="2017-03-01T00:00:00Z"/>
        <d v="2017-03-02T00:00:00Z"/>
        <d v="2017-03-08T00:00:00Z"/>
        <d v="2017-03-14T00:00:00Z"/>
        <d v="2017-03-15T00:00:00Z"/>
        <d v="2017-03-16T00:00:00Z"/>
        <d v="2017-03-22T00:00:00Z"/>
        <d v="2017-03-29T00:00:00Z"/>
        <d v="2017-03-30T00:00:00Z"/>
        <d v="2017-04-05T00:00:00Z"/>
        <d v="2017-04-06T00:00:00Z"/>
        <d v="2017-04-11T00:00:00Z"/>
        <d v="2017-04-12T00:00:00Z"/>
        <d v="2017-04-18T00:00:00Z"/>
        <d v="2017-04-19T00:00:00Z"/>
        <d v="2017-04-20T00:00:00Z"/>
        <d v="2017-04-26T00:00:00Z"/>
        <d v="2017-04-27T00:00:00Z"/>
        <d v="2017-05-02T00:00:00Z"/>
        <d v="2017-05-03T00:00:00Z"/>
        <d v="2017-05-04T00:00:00Z"/>
        <d v="2017-05-10T00:00:00Z"/>
        <d v="2017-05-11T00:00:00Z"/>
        <d v="2017-05-17T00:00:00Z"/>
        <d v="2017-05-18T00:00:00Z"/>
        <d v="2017-05-23T00:00:00Z"/>
        <d v="2017-05-24T00:00:00Z"/>
        <d v="2017-05-25T00:00:00Z"/>
        <d v="2017-05-31T00:00:00Z"/>
        <d v="2017-06-01T00:00:00Z"/>
        <d v="2017-06-07T00:00:00Z"/>
        <d v="2017-06-08T00:00:00Z"/>
        <d v="2017-06-14T00:00:00Z"/>
        <d v="2017-06-15T00:00:00Z"/>
        <d v="2017-06-20T00:00:00Z"/>
        <d v="2017-06-21T00:00:00Z"/>
        <d v="2017-06-28T00:00:00Z"/>
        <d v="2017-06-29T00:00:00Z"/>
        <d v="2017-07-04T00:00:00Z"/>
        <d v="2017-07-05T00:00:00Z"/>
        <d v="2017-07-06T00:00:00Z"/>
        <d v="2017-07-11T00:00:00Z"/>
        <d v="2017-07-12T00:00:00Z"/>
        <d v="2017-07-19T00:00:00Z"/>
        <d v="2017-07-20T00:00:00Z"/>
        <d v="2017-07-25T00:00:00Z"/>
        <d v="2017-07-26T00:00:00Z"/>
        <d v="2017-07-27T00:00:00Z"/>
        <d v="2017-08-01T00:00:00Z"/>
        <d v="2017-08-02T00:00:00Z"/>
        <d v="2017-08-03T00:00:00Z"/>
        <d v="2017-08-09T00:00:00Z"/>
        <d v="2017-08-10T00:00:00Z"/>
        <d v="2017-08-15T00:00:00Z"/>
        <d v="2017-08-16T00:00:00Z"/>
        <d v="2017-08-22T00:00:00Z"/>
        <d v="2017-08-23T00:00:00Z"/>
        <d v="2017-08-24T00:00:00Z"/>
        <d v="2017-08-30T00:00:00Z"/>
        <d v="2017-08-31T00:00:00Z"/>
        <d v="2017-09-05T00:00:00Z"/>
        <d v="2017-09-06T00:00:00Z"/>
        <d v="2017-09-07T00:00:00Z"/>
        <d v="2017-09-12T00:00:00Z"/>
        <d v="2017-09-13T00:00:00Z"/>
        <d v="2017-09-14T00:00:00Z"/>
        <d v="2017-09-19T00:00:00Z"/>
        <d v="2017-09-20T00:00:00Z"/>
        <d v="2017-09-21T00:00:00Z"/>
        <d v="2017-09-26T00:00:00Z"/>
        <d v="2017-09-27T00:00:00Z"/>
        <d v="2017-09-28T00:00:00Z"/>
        <d v="2017-10-04T00:00:00Z"/>
        <d v="2017-10-05T00:00:00Z"/>
        <d v="2017-10-11T00:00:00Z"/>
        <d v="2017-10-12T00:00:00Z"/>
        <d v="2017-10-18T00:00:00Z"/>
        <d v="2017-10-19T00:00:00Z"/>
        <d v="2017-10-25T00:00:00Z"/>
        <d v="2017-10-26T00:00:00Z"/>
        <d v="2017-11-01T00:00:00Z"/>
        <d v="2017-11-02T00:00:00Z"/>
      </sharedItems>
    </cacheField>
    <cacheField name="Score" numFmtId="0">
      <sharedItems containsSemiMixedTypes="0" containsString="0" containsNumber="1">
        <n v="0.762753281891"/>
        <n v="0.704541633632"/>
        <n v="0.589632150261"/>
        <n v="0.789752591033"/>
        <n v="0.758790608313"/>
        <n v="0.847680383446"/>
        <n v="0.67056852357"/>
        <n v="0.594808644941"/>
        <n v="0.692773603671"/>
        <n v="0.810869445192"/>
        <n v="0.849034546824"/>
        <n v="0.612073967905"/>
        <n v="0.669933979799"/>
        <n v="0.763491332722"/>
        <n v="0.816354999213"/>
        <n v="0.652719922428"/>
        <n v="0.790093625445"/>
        <n v="0.835980752762"/>
        <n v="0.750118006448"/>
        <n v="0.739706324123"/>
        <n v="0.517856565566"/>
        <n v="0.579681735123"/>
        <n v="0.685967701602"/>
        <n v="0.484417504606"/>
        <n v="0.57957899965"/>
        <n v="0.529402927302"/>
        <n v="0.813759053966"/>
        <n v="0.607854586284"/>
        <n v="0.756609449228"/>
        <n v="0.739975200861"/>
        <n v="0.712676830401"/>
        <n v="0.71271774318"/>
        <n v="0.699519626189"/>
        <n v="0.682537511226"/>
        <n v="0.60466494671"/>
        <n v="0.675221314194"/>
        <n v="0.636086104082"/>
        <n v="0.590145941785"/>
        <n v="0.748018862992"/>
        <n v="0.711058177813"/>
        <n v="0.838088632884"/>
        <n v="0.74078228612"/>
        <n v="0.596872757127"/>
        <n v="0.594925923832"/>
        <n v="0.673819371936"/>
        <n v="0.588317303877"/>
        <n v="0.710464765427"/>
        <n v="0.792092723126"/>
        <n v="0.74899665979"/>
        <n v="0.507650272109"/>
        <n v="0.656367863405"/>
        <n v="0.772805273039"/>
        <n v="0.754879879077"/>
        <n v="0.691576660846"/>
        <n v="0.878233220607"/>
        <n v="0.836383481041"/>
        <n v="0.629664166349"/>
        <n v="0.642778129545"/>
        <n v="0.685173393255"/>
        <n v="0.58177387243"/>
        <n v="0.702190112785"/>
        <n v="0.608509323569"/>
        <n v="0.527596048177"/>
        <n v="0.758319002461"/>
        <n v="0.572941790696"/>
        <n v="0.533815146927"/>
        <n v="0.843165859609"/>
        <n v="0.702617642485"/>
        <n v="0.725217785654"/>
        <n v="0.754854818172"/>
        <n v="0.724391447571"/>
        <n v="0.642584433946"/>
        <n v="0.569780134516"/>
        <n v="0.774108361012"/>
        <n v="0.834131549564"/>
        <n v="0.794877864449"/>
        <n v="0.823946250549"/>
        <n v="0.735339898729"/>
        <n v="0.704907631384"/>
        <n v="0.382577509798"/>
        <n v="0.674481446072"/>
        <n v="0.5904040522"/>
        <n v="0.769894362042"/>
        <n v="0.574963676738"/>
        <n v="0.725160162523"/>
        <n v="0.760146007761"/>
        <n v="0.737592623896"/>
        <n v="0.750008273385"/>
        <n v="0.734851578266"/>
        <n v="0.673466904307"/>
        <n v="0.688663272137"/>
        <n v="0.702291586593"/>
        <n v="0.710366651171"/>
        <n v="0.707351441042"/>
        <n v="0.690840306064"/>
        <n v="0.695687356409"/>
        <n v="0.704845711631"/>
        <n v="0.945114081652"/>
        <n v="0.73681708458"/>
        <n v="0.620386088585"/>
        <n v="0.659305608453"/>
        <n v="0.65918693104"/>
        <n v="0.611276973463"/>
        <n v="0.755181299554"/>
        <n v="0.595671064159"/>
        <n v="0.5864878287"/>
        <n v="0.64766982503"/>
        <n v="0.636181753636"/>
        <n v="0.637339055113"/>
        <n v="0.944999305513"/>
        <n v="0.600102853439"/>
        <n v="0.682315512036"/>
        <n v="0.766836944226"/>
        <n v="0.473337722903"/>
        <n v="0.674896047112"/>
        <n v="0.672880522979"/>
        <n v="0.625086655794"/>
        <n v="0.744756421057"/>
        <n v="0.549558522914"/>
        <n v="0.665306437625"/>
        <n v="0.507203291942"/>
        <n v="0.612518963058"/>
        <n v="0.568474662539"/>
        <n v="0.724425779802"/>
        <n v="0.720092067614"/>
        <n v="0.581340484219"/>
        <n v="0.512532614688"/>
        <n v="0.517597519923"/>
        <n v="0.624703892922"/>
        <n v="0.742070610207"/>
        <n v="0.466715989757"/>
        <n v="0.678951261525"/>
        <n v="0.593619341008"/>
        <n v="0.633675749774"/>
        <n v="0.6465919195"/>
        <n v="0.773748918813"/>
        <n v="0.730990731926"/>
        <n v="0.527846012856"/>
        <n v="0.773513774657"/>
        <n v="0.79297804834"/>
        <n v="0.685576403246"/>
        <n v="0.72075573126"/>
        <n v="0.789355536509"/>
        <n v="0.770696292393"/>
        <n v="0.943470467207"/>
        <n v="0.578212430023"/>
        <n v="0.76362828295"/>
        <n v="0.854951492328"/>
        <n v="0.765386980444"/>
        <n v="0.769577657205"/>
        <n v="0.739008534386"/>
        <n v="0.722466371466"/>
        <n v="0.616825198167"/>
        <n v="0.717842437558"/>
        <n v="0.72535397397"/>
        <n v="0.677649299907"/>
        <n v="0.681681407715"/>
        <n v="0.820911098397"/>
        <n v="0.777644998206"/>
        <n v="0.736536532721"/>
        <n v="0.661903298468"/>
        <n v="0.729657927853"/>
        <n v="0.677203741382"/>
        <n v="0.692413893539"/>
        <n v="0.643336284429"/>
        <n v="0.739238426252"/>
        <n v="0.782935624724"/>
        <n v="0.698605021339"/>
        <n v="0.661525255884"/>
        <n v="0.771278168604"/>
        <n v="0.525392630063"/>
        <n v="0.706975919327"/>
        <n v="0.750336605093"/>
        <n v="0.644457329085"/>
        <n v="0.831013738726"/>
        <n v="0.723749501853"/>
        <n v="0.63536480014"/>
        <n v="0.912655933011"/>
        <n v="0.586927700452"/>
        <n v="0.72762197106"/>
        <n v="0.808720355182"/>
        <n v="0.674326953363"/>
        <n v="0.658407745225"/>
        <n v="0.742307111438"/>
        <n v="0.607822608324"/>
        <n v="0.623305202851"/>
        <n v="0.664530632638"/>
        <n v="0.666185305586"/>
        <n v="0.67148015565"/>
        <n v="0.752316876179"/>
        <n v="0.845261604297"/>
        <n v="0.555160458432"/>
        <n v="0.753331465185"/>
        <n v="0.56648024233"/>
        <n v="0.777472317032"/>
        <n v="0.745407446906"/>
        <n v="0.806902089457"/>
        <n v="0.677855709661"/>
        <n v="0.716091941722"/>
        <n v="0.584080416395"/>
        <n v="0.61622801457"/>
        <n v="0.677788955917"/>
        <n v="0.670135727181"/>
        <n v="0.647353162122"/>
        <n v="0.661042613676"/>
        <n v="0.692918369693"/>
        <n v="0.66684785372"/>
        <n v="0.679677560203"/>
        <n v="0.568936068107"/>
        <n v="0.740968036226"/>
        <n v="0.67830375643"/>
        <n v="0.709047552415"/>
        <n v="0.459254519693"/>
        <n v="0.572142685333"/>
        <n v="0.700831152653"/>
        <n v="0.708300950232"/>
        <n v="0.70700361918"/>
        <n v="0.579241497178"/>
        <n v="0.773175401597"/>
        <n v="0.666117762612"/>
        <n v="0.746502200771"/>
        <n v="0.720194261535"/>
        <n v="0.600035686633"/>
        <n v="0.740204591221"/>
        <n v="0.671796233545"/>
        <n v="0.659942803613"/>
        <n v="0.695797654187"/>
        <n v="0.705865764495"/>
        <n v="0.662745399429"/>
        <n v="0.72842806969"/>
        <n v="0.627447267737"/>
        <n v="0.857562325443"/>
        <n v="0.605828718111"/>
        <n v="0.573454411128"/>
        <n v="0.685687362239"/>
        <n v="0.826406840502"/>
        <n v="0.65347153699"/>
        <n v="0.756466187052"/>
        <n v="0.64564897786"/>
        <n v="0.875710842213"/>
        <n v="0.735129287452"/>
        <n v="0.627269056866"/>
        <n v="0.719697108183"/>
        <n v="0.821263768668"/>
        <n v="0.685376610397"/>
        <n v="0.490733005994"/>
        <n v="0.702828611072"/>
        <n v="0.678466175122"/>
        <n v="0.759169751262"/>
        <n v="0.578668001236"/>
        <n v="0.681331150917"/>
        <n v="0.543352145482"/>
        <n v="0.702666372698"/>
        <n v="0.69412822436"/>
        <n v="0.657029226606"/>
        <n v="0.662064944757"/>
        <n v="0.620936302326"/>
        <n v="0.656279668989"/>
        <n v="0.590618270941"/>
        <n v="0.66973308924"/>
        <n v="0.667151160029"/>
        <n v="0.642422941637"/>
        <n v="0.704986040198"/>
        <n v="0.746250742178"/>
        <n v="0.720942295349"/>
        <n v="0.637692854322"/>
        <n v="0.579285111646"/>
        <n v="0.526014162937"/>
        <n v="0.628261955733"/>
        <n v="0.709865669952"/>
        <n v="0.713454685426"/>
        <n v="0.777432301064"/>
        <n v="0.707610622448"/>
        <n v="0.860339220809"/>
        <n v="0.655539931386"/>
        <n v="0.745290035148"/>
        <n v="0.663313049694"/>
        <n v="0.661175757565"/>
        <n v="0.725869232194"/>
        <n v="0.669486105924"/>
        <n v="0.701192170201"/>
        <n v="0.645770673493"/>
        <n v="0.423765603274"/>
        <n v="0.716022281023"/>
        <n v="0.730277449361"/>
        <n v="0.894282599531"/>
        <n v="0.798492441236"/>
        <n v="0.643359810346"/>
        <n v="0.571771906385"/>
        <n v="0.68389295825"/>
        <n v="0.666806830627"/>
        <n v="0.882028100105"/>
        <n v="0.747598669576"/>
        <n v="0.819381875003"/>
        <n v="0.722843895587"/>
        <n v="0.686653193082"/>
        <n v="0.70665035417"/>
        <n v="0.668471582019"/>
        <n v="0.480378465635"/>
        <n v="0.746404951788"/>
        <n v="0.71537861242"/>
        <n v="0.674641733072"/>
        <n v="0.583420418062"/>
        <n v="0.698164872188"/>
        <n v="0.834256457742"/>
        <n v="0.686102370389"/>
        <n v="0.637914106397"/>
        <n v="0.755133249232"/>
        <n v="0.614252667168"/>
        <n v="0.294383920979"/>
        <n v="0.631787668222"/>
        <n v="0.686030910978"/>
        <n v="0.717896943238"/>
        <n v="0.728246617906"/>
        <n v="0.640631937436"/>
        <n v="0.290823098405"/>
        <n v="0.687990819862"/>
        <n v="0.663663638213"/>
        <n v="0.601018334839"/>
        <n v="0.853801061461"/>
        <n v="0.697354637444"/>
        <n v="0.846444408696"/>
        <n v="0.736116088686"/>
        <n v="0.817359433966"/>
        <n v="0.651538272624"/>
        <n v="0.337007429271"/>
        <n v="0.660382692399"/>
        <n v="0.714014737263"/>
        <n v="0.763004034494"/>
        <n v="0.622994116863"/>
        <n v="0.730746493478"/>
        <n v="0.553211373058"/>
        <n v="0.736943939703"/>
        <n v="0.671253656782"/>
        <n v="0.683090514942"/>
        <n v="0.806417628195"/>
        <n v="0.769742996131"/>
        <n v="0.645786183653"/>
        <n v="0.81167777808"/>
        <n v="0.646251428246"/>
        <n v="0.663011946623"/>
        <n v="0.719557477261"/>
        <n v="0.67565137676"/>
        <n v="0.773610025088"/>
        <n v="0.709742057918"/>
        <n v="0.495758728098"/>
        <n v="0.70194666477"/>
        <n v="0.728797113733"/>
        <n v="0.739261190423"/>
        <n v="0.893823656941"/>
        <n v="0.705676745953"/>
        <n v="0.727478871825"/>
        <n v="0.725820002343"/>
        <n v="0.573117718882"/>
        <n v="0.717158851258"/>
        <n v="0.62721905387"/>
        <n v="0.730759934584"/>
        <n v="0.782139197262"/>
        <n v="0.781396689367"/>
        <n v="0.744438731392"/>
        <n v="0.79667558087"/>
        <n v="0.787967688507"/>
        <n v="0.603327583149"/>
        <n v="0.807198363198"/>
        <n v="0.775510256791"/>
        <n v="0.793091999352"/>
        <n v="0.716175117345"/>
        <n v="0.666240124389"/>
        <n v="0.741963917917"/>
        <n v="0.745492312064"/>
        <n v="0.78522839157"/>
        <n v="0.743450196496"/>
        <n v="0.726639710199"/>
        <n v="0.599733013184"/>
        <n v="0.726571303361"/>
        <n v="0.757673574631"/>
        <n v="0.707356999601"/>
        <n v="0.676003063176"/>
        <n v="0.737835043388"/>
        <n v="0.639755359738"/>
        <n v="0.737764463305"/>
        <n v="0.671608179782"/>
        <n v="0.686732930367"/>
        <n v="0.7337500751"/>
        <n v="0.749000366778"/>
        <n v="0.959212686576"/>
        <n v="0.715836243167"/>
        <n v="0.437297382325"/>
        <n v="0.752092443229"/>
        <n v="0.708133133219"/>
        <n v="0.756924874089"/>
        <n v="0.850277271113"/>
        <n v="0.725637043486"/>
        <n v="0.317825253549"/>
        <n v="0.648271080093"/>
        <n v="0.708539745936"/>
        <n v="0.707960420643"/>
        <n v="0.755446572759"/>
        <n v="0.737339721247"/>
        <n v="0.659267398955"/>
        <n v="0.469973600856"/>
        <n v="0.754614554421"/>
        <n v="0.531264425685"/>
        <n v="0.697671886014"/>
        <n v="0.68526852636"/>
        <n v="0.798818111597"/>
        <n v="0.516801863622"/>
        <n v="0.744228041803"/>
        <n v="0.322489985724"/>
        <n v="0.684686159104"/>
        <n v="0.531495567983"/>
        <n v="0.71977717789"/>
        <n v="0.784188412151"/>
        <n v="0.720592339173"/>
        <n v="0.694602640113"/>
        <n v="0.726805239998"/>
        <n v="0.768437915977"/>
        <n v="0.799088805251"/>
        <n v="0.841323103833"/>
        <n v="0.654692790016"/>
        <n v="0.67726026316"/>
        <n v="0.725362351657"/>
        <n v="0.68256736264"/>
        <n v="0.737344628011"/>
        <n v="0.450058513635"/>
        <n v="0.648308220972"/>
        <n v="0.850867016747"/>
        <n v="0.478414263086"/>
        <n v="0.647053424063"/>
        <n v="0.761173615748"/>
        <n v="0.795663726944"/>
        <n v="0.706631981516"/>
        <n v="0.449063355261"/>
        <n v="0.733361245495"/>
        <n v="0.80326220478"/>
        <n v="0.653503896025"/>
        <n v="0.703773153654"/>
        <n v="0.757442299446"/>
        <n v="0.583893444244"/>
        <n v="0.748408170183"/>
        <n v="0.4950835907"/>
        <n v="0.703255269605"/>
        <n v="0.805744648781"/>
        <n v="0.7287845772"/>
        <n v="0.824965957148"/>
        <n v="0.705694103914"/>
        <n v="0.632745439451"/>
        <n v="0.832809641676"/>
        <n v="0.863358369686"/>
        <n v="0.649610619809"/>
        <n v="0.574959901551"/>
        <n v="0.720425301111"/>
        <n v="0.720990660414"/>
        <n v="0.675830028043"/>
        <n v="0.677591026457"/>
        <n v="0.69784812158"/>
        <n v="0.728235164306"/>
        <n v="0.765041474809"/>
        <n v="0.758597002501"/>
        <n v="0.655619317785"/>
        <n v="0.749274849946"/>
        <n v="0.837551799408"/>
        <n v="0.662442330543"/>
        <n v="0.811518380956"/>
        <n v="0.752537870688"/>
        <n v="0.678044728202"/>
        <n v="0.730640340784"/>
        <n v="0.531115133102"/>
        <n v="0.74235765181"/>
        <n v="0.672294428364"/>
        <n v="0.742505494931"/>
        <n v="0.827402108535"/>
        <n v="0.759438753579"/>
        <n v="0.830741271076"/>
        <n v="0.792615992937"/>
        <n v="0.821286292855"/>
        <n v="0.729598127543"/>
        <n v="0.71773531084"/>
        <n v="0.711962979028"/>
        <n v="0.79003211537"/>
        <n v="0.76496992579"/>
        <n v="0.786221676987"/>
        <n v="0.734140197284"/>
        <n v="0.895168573529"/>
        <n v="0.749478126429"/>
        <n v="0.737332874282"/>
        <n v="0.0749276884728"/>
        <n v="0.727197810149"/>
        <n v="0.713323702029"/>
        <n v="0.746859590873"/>
        <n v="0.761898701947"/>
        <n v="0.679672459166"/>
        <n v="0.701480185553"/>
        <n v="0.673218782315"/>
        <n v="0.685033389468"/>
        <n v="0.704196358699"/>
        <n v="0.677275531418"/>
        <n v="0.764161873844"/>
        <n v="0.822231389706"/>
        <n v="0.780821490003"/>
        <n v="0.793448123661"/>
        <n v="0.736269944263"/>
        <n v="0.731128222829"/>
        <n v="0.732440539578"/>
        <n v="0.889139719886"/>
        <n v="0.665028845026"/>
        <n v="0.735184754059"/>
        <n v="0.68786860206"/>
        <n v="0.935751174606"/>
        <n v="0.71590931917"/>
        <n v="0.421488650022"/>
        <n v="0.738352248578"/>
        <n v="0.43920345675"/>
        <n v="0.714571308359"/>
        <n v="0.739401409789"/>
        <n v="0.672690011788"/>
        <n v="0.698778625147"/>
        <n v="0.778410315667"/>
        <n v="0.758260388493"/>
        <n v="0.720011028958"/>
        <n v="0.724254501246"/>
        <n v="0.694316113453"/>
        <n v="0.606600766982"/>
        <n v="0.760161862395"/>
        <n v="0.760975472987"/>
        <n v="0.769912682287"/>
        <n v="0.75131748242"/>
        <n v="0.736177249112"/>
        <n v="0.831630685547"/>
        <n v="0.773248417574"/>
        <n v="0.808221134095"/>
        <n v="0.739638671781"/>
        <n v="0.714685819242"/>
        <n v="0.767792558348"/>
        <n v="0.697444644744"/>
        <n v="0.760681223206"/>
        <n v="0.678671859542"/>
        <n v="0.625979529317"/>
        <n v="0.600608356705"/>
        <n v="0.732197349208"/>
        <n v="0.766037135488"/>
        <n v="0.786153956629"/>
        <n v="0.944636752223"/>
        <n v="0.672348666744"/>
        <n v="0.630345385387"/>
        <n v="0.790959389967"/>
        <n v="0.754207309049"/>
        <n v="0.718797347629"/>
        <n v="0.778500916211"/>
        <n v="0.724056458104"/>
        <n v="0.85905520428"/>
        <n v="0.769737081928"/>
        <n v="0.787497299865"/>
        <n v="0.741393813182"/>
        <n v="0.859507398389"/>
        <n v="0.703225055545"/>
        <n v="0.835736266254"/>
        <n v="0.732381573412"/>
        <n v="0.840607124398"/>
        <n v="0.692099307496"/>
        <n v="0.621065137446"/>
        <n v="0.926085298405"/>
        <n v="0.690955240696"/>
        <n v="0.736152239937"/>
        <n v="0.711147775996"/>
        <n v="0.746691661233"/>
        <n v="0.501982826609"/>
        <n v="0.686814312624"/>
        <n v="0.666733694897"/>
        <n v="0.7586531231"/>
        <n v="0.648654719297"/>
        <n v="0.749775564338"/>
        <n v="0.687750332693"/>
        <n v="0.715748140433"/>
        <n v="0.790574913203"/>
        <n v="0.750639667158"/>
        <n v="0.658968630156"/>
        <n v="0.727245418118"/>
        <n v="0.794572083655"/>
        <n v="0.709063880445"/>
        <n v="0.677767610476"/>
        <n v="0.651895844979"/>
        <n v="0.841584338217"/>
        <n v="0.705554536401"/>
        <n v="0.554660899518"/>
        <n v="0.764760581168"/>
        <n v="0.809564996374"/>
        <n v="0.75739103728"/>
        <n v="0.476650802544"/>
        <n v="0.71586889989"/>
        <n v="0.749164393566"/>
        <n v="0.807726367691"/>
        <n v="0.75406575639"/>
        <n v="0.618887880607"/>
        <n v="0.660662668185"/>
        <n v="0.881837529133"/>
        <n v="0.771453770329"/>
        <n v="0.757459666019"/>
        <n v="0.705239180432"/>
        <n v="0.74143364026"/>
        <n v="0.744413482111"/>
        <n v="0.848300912571"/>
        <n v="0.475130401925"/>
        <n v="0.745788090139"/>
        <n v="0.89675071525"/>
        <n v="0.716002016568"/>
        <n v="0.787078827774"/>
        <n v="0.778370461814"/>
        <n v="0.816767028055"/>
        <n v="0.793893707521"/>
        <n v="0.705252651402"/>
        <n v="0.920438341977"/>
        <n v="0.74578848135"/>
        <n v="0.812455171448"/>
        <n v="0.784086227402"/>
        <n v="0.731929617589"/>
        <n v="0.718764332441"/>
        <n v="0.780926600744"/>
        <n v="0.725995333101"/>
        <n v="0.687640886258"/>
        <n v="0.727598536978"/>
        <n v="0.839371922332"/>
        <n v="0.700880789031"/>
        <n v="0.763929047127"/>
        <n v="0.792923382707"/>
        <n v="0.571117456558"/>
        <n v="0.639232018195"/>
        <n v="0.733436283911"/>
        <n v="0.755587316972"/>
        <n v="0.803357351863"/>
        <n v="0.680687789003"/>
        <n v="0.727920559486"/>
        <n v="0.75293018937"/>
        <n v="0.721512702864"/>
        <n v="0.78225437002"/>
        <n v="0.731535167148"/>
        <n v="0.610764126399"/>
        <n v="0.775026196317"/>
        <n v="0.821742870087"/>
        <n v="0.755101697526"/>
        <n v="0.820842741626"/>
        <n v="0.721595982877"/>
        <n v="0.879383195709"/>
        <n v="0.671903374797"/>
        <n v="0.91091006573"/>
        <n v="0.660940812818"/>
        <n v="0.214347743701"/>
        <n v="0.766215059498"/>
        <n v="0.53623863648"/>
        <n v="0.732850140476"/>
        <n v="0.744483331928"/>
        <n v="0.640961519356"/>
        <n v="0.546921926455"/>
        <n v="0.717798413213"/>
        <n v="0.723014477081"/>
        <n v="0.733895340185"/>
        <n v="0.647739303689"/>
        <n v="0.706873401583"/>
        <n v="0.723377755163"/>
        <n v="0.714324934015"/>
        <n v="0.757426999504"/>
        <n v="0.73960946432"/>
        <n v="0.911355201185"/>
        <n v="0.647332302238"/>
        <n v="0.710916590409"/>
        <n v="0.66966952706"/>
        <n v="0.732647554813"/>
        <n v="0.672160855311"/>
        <n v="0.823985624403"/>
        <n v="0.713691716238"/>
        <n v="0.826180251467"/>
        <n v="0.652867167421"/>
        <n v="0.726509260624"/>
        <n v="0.695153934682"/>
        <n v="0.633636167955"/>
        <n v="0.647715296367"/>
        <n v="0.687788409229"/>
        <n v="0.370311353956"/>
        <n v="0.704145591032"/>
        <n v="0.628849783517"/>
        <n v="0.659334631488"/>
        <n v="0.80235538029"/>
        <n v="0.737694568081"/>
        <n v="0.663606267624"/>
        <n v="0.742625381917"/>
        <n v="0.694007668502"/>
        <n v="0.662235844691"/>
        <n v="0.719980993821"/>
        <n v="0.707206607627"/>
        <n v="0.695085513233"/>
        <n v="0.571857923992"/>
        <n v="0.799366256312"/>
        <n v="0.882202142396"/>
        <n v="0.710692258791"/>
        <n v="0.721078888404"/>
        <n v="0.763251050215"/>
        <n v="0.682982621076"/>
      </sharedItems>
    </cacheField>
    <cacheField name="Release Dates" numFmtId="167">
      <sharedItems containsDate="1" containsString="0" containsBlank="1">
        <d v="2011-07-21T00:00:00Z"/>
        <d v="2011-08-11T00:00:00Z"/>
        <d v="2011-12-12T00:00:00Z"/>
        <d v="2011-12-14T00:00:00Z"/>
        <d v="2011-12-16T00:00:00Z"/>
        <d v="2011-12-20T00:00:00Z"/>
        <d v="2012-01-23T00:00:00Z"/>
        <d v="2012-02-17T00:00:00Z"/>
        <d v="2012-03-31T00:00:00Z"/>
        <d v="2012-04-18T00:00:00Z"/>
        <d v="2012-04-19T00:00:00Z"/>
        <d v="2012-05-21T00:00:00Z"/>
        <d v="2012-05-22T00:00:00Z"/>
        <d v="2012-08-03T00:00:00Z"/>
        <d v="2012-10-25T00:00:00Z"/>
        <d v="2013-01-17T00:00:00Z"/>
        <d v="2013-01-18T00:00:00Z"/>
        <d v="2013-02-15T00:00:00Z"/>
        <d v="2013-07-25T00:00:00Z"/>
        <d v="2013-03-29T00:00:00Z"/>
        <d v="2013-04-21T00:00:00Z"/>
        <d v="2013-05-28T00:00:00Z"/>
        <d v="2013-05-27T00:00:00Z"/>
        <d v="2013-06-01T00:00:00Z"/>
        <d v="2013-06-23T00:00:00Z"/>
        <d v="2013-08-14T00:00:00Z"/>
        <d v="2013-08-29T00:00:00Z"/>
        <d v="2013-09-01T00:00:00Z"/>
        <d v="2014-01-13T00:00:00Z"/>
        <d v="2013-09-28T00:00:00Z"/>
        <d v="2013-10-04T00:00:00Z"/>
        <d v="2013-10-11T00:00:00Z"/>
        <d v="2013-10-21T00:00:00Z"/>
        <d v="2013-10-23T00:00:00Z"/>
        <d v="2013-10-25T00:00:00Z"/>
        <d v="2013-11-02T00:00:00Z"/>
        <d v="2013-11-15T00:00:00Z"/>
        <d v="2013-11-23T00:00:00Z"/>
        <d v="2014-02-07T00:00:00Z"/>
        <d v="2013-11-25T00:00:00Z"/>
        <d v="2013-12-09T00:00:00Z"/>
        <d v="2013-12-21T00:00:00Z"/>
        <d v="2013-12-28T00:00:00Z"/>
        <d v="2014-01-07T00:00:00Z"/>
        <d v="2014-01-21T00:00:00Z"/>
        <d v="2014-01-31T00:00:00Z"/>
        <d v="2014-02-04T00:00:00Z"/>
        <d v="2014-02-14T00:00:00Z"/>
        <d v="2014-02-24T00:00:00Z"/>
        <d v="2014-03-01T00:00:00Z"/>
        <d v="2014-03-11T00:00:00Z"/>
        <d v="2014-03-30T00:00:00Z"/>
        <d v="2014-04-23T00:00:00Z"/>
        <d v="2014-04-01T00:00:00Z"/>
        <d v="2014-04-08T00:00:00Z"/>
        <d v="2014-04-30T00:00:00Z"/>
        <d v="2014-05-15T00:00:00Z"/>
        <d v="2014-05-27T00:00:00Z"/>
        <d v="2014-07-08T00:00:00Z"/>
        <d v="2014-07-16T00:00:00Z"/>
        <d v="2014-07-24T00:00:00Z"/>
        <d v="2014-07-30T00:00:00Z"/>
        <d v="2014-08-10T00:00:00Z"/>
        <d v="2014-08-20T00:00:00Z"/>
        <d v="2014-10-23T00:00:00Z"/>
        <d v="2014-08-22T00:00:00Z"/>
        <d v="2014-09-20T00:00:00Z"/>
        <d v="2014-09-27T00:00:00Z"/>
        <d v="2014-10-05T00:00:00Z"/>
        <d v="2014-10-13T00:00:00Z"/>
        <d v="2014-10-28T00:00:00Z"/>
        <d v="2014-11-04T00:00:00Z"/>
        <d v="2014-10-19T00:00:00Z"/>
        <d v="2014-11-05T00:00:00Z"/>
        <d v="2014-11-15T00:00:00Z"/>
        <d v="2014-11-30T00:00:00Z"/>
        <d v="2014-12-09T00:00:00Z"/>
        <d v="2014-12-23T00:00:00Z"/>
        <d v="2014-12-10T00:00:00Z"/>
        <d v="2014-12-29T00:00:00Z"/>
        <d v="2015-01-11T00:00:00Z"/>
        <d v="2015-02-08T00:00:00Z"/>
        <d v="2015-04-14T00:00:00Z"/>
        <d v="2015-02-16T00:00:00Z"/>
        <d v="2015-02-25T00:00:00Z"/>
        <d v="2015-03-01T00:00:00Z"/>
        <d v="2015-03-09T00:00:00Z"/>
        <d v="2015-03-28T00:00:00Z"/>
        <d v="2015-04-04T00:00:00Z"/>
        <d v="2016-01-15T00:00:00Z"/>
        <d v="2015-05-02T00:00:00Z"/>
        <d v="2015-05-14T00:00:00Z"/>
        <d v="2015-06-01T00:00:00Z"/>
        <d v="2016-01-14T00:00:00Z"/>
        <d v="2015-05-25T00:00:00Z"/>
        <d v="2015-06-13T00:00:00Z"/>
        <d v="2015-06-16T00:00:00Z"/>
        <d v="2015-06-18T00:00:00Z"/>
        <d v="2015-07-06T00:00:00Z"/>
        <d v="2015-07-14T00:00:00Z"/>
        <d v="2015-07-20T00:00:00Z"/>
        <d v="2015-07-31T00:00:00Z"/>
        <d v="2015-08-09T00:00:00Z"/>
        <d v="2015-08-13T00:00:00Z"/>
        <d v="2015-08-22T00:00:00Z"/>
        <d v="2015-09-06T00:00:00Z"/>
        <d v="2015-11-17T00:00:00Z"/>
        <d v="2016-01-18T00:00:00Z"/>
        <d v="2011-06-18T00:00:00Z"/>
        <d v="2015-07-12T00:00:00Z"/>
        <d v="2015-07-19T00:00:00Z"/>
        <d v="2015-08-10T00:00:00Z"/>
        <d v="2015-08-17T00:00:00Z"/>
        <d v="2015-09-12T00:00:00Z"/>
        <d v="2015-10-05T00:00:00Z"/>
        <d v="2015-10-24T00:00:00Z"/>
        <d v="2015-11-29T00:00:00Z"/>
        <d v="2015-12-19T00:00:00Z"/>
        <d v="2016-02-05T00:00:00Z"/>
        <d v="2016-03-17T00:00:00Z"/>
        <d v="2016-02-21T00:00:00Z"/>
        <d v="2016-02-29T00:00:00Z"/>
        <d v="2016-03-01T00:00:00Z"/>
        <d v="2016-03-08T00:00:00Z"/>
        <d v="2016-03-18T00:00:00Z"/>
        <d v="2016-04-03T00:00:00Z"/>
        <d v="2016-04-11T00:00:00Z"/>
        <d v="2016-06-06T00:00:00Z"/>
        <d v="2016-03-07T00:00:00Z"/>
        <d v="2016-03-14T00:00:00Z"/>
        <d v="2016-04-21T00:00:00Z"/>
        <d v="2016-04-12T00:00:00Z"/>
        <d v="2016-04-27T00:00:00Z"/>
        <d v="2016-05-03T00:00:00Z"/>
        <d v="2016-05-09T00:00:00Z"/>
        <d v="2016-06-08T00:00:00Z"/>
        <d v="2016-06-27T00:00:00Z"/>
        <d v="2016-07-11T00:00:00Z"/>
        <d v="2016-07-05T00:00:00Z"/>
        <d v="2016-07-12T00:00:00Z"/>
        <d v="2016-07-25T00:00:00Z"/>
        <d v="2016-08-16T00:00:00Z"/>
        <d v="2016-08-31T00:00:00Z"/>
        <d v="2016-09-06T00:00:00Z"/>
        <d v="2016-07-26T00:00:00Z"/>
        <d v="2016-08-01T00:00:00Z"/>
        <d v="2016-08-30T00:00:00Z"/>
        <d v="2016-09-08T00:00:00Z"/>
        <d v="2016-09-15T00:00:00Z"/>
        <d v="2016-10-07T00:00:00Z"/>
        <d v="2016-11-01T00:00:00Z"/>
        <d v="2016-07-29T00:00:00Z"/>
        <d v="2016-08-08T00:00:00Z"/>
        <d v="2016-09-13T00:00:00Z"/>
        <d v="2016-09-20T00:00:00Z"/>
        <d v="2016-09-28T00:00:00Z"/>
        <d v="2016-10-06T00:00:00Z"/>
        <d v="2016-10-18T00:00:00Z"/>
        <d v="2016-10-27T00:00:00Z"/>
        <d v="2016-11-02T00:00:00Z"/>
        <d v="2016-11-28T00:00:00Z"/>
        <d v="2016-12-13T00:00:00Z"/>
        <d v="2016-12-19T00:00:00Z"/>
        <d v="2016-11-30T00:00:00Z"/>
        <d v="2016-12-07T00:00:00Z"/>
        <d v="2016-12-14T00:00:00Z"/>
        <d v="2017-01-20T00:00:00Z"/>
        <d v="2017-01-21T00:00:00Z"/>
        <d v="2017-01-24T00:00:00Z"/>
        <d v="2017-02-16T00:00:00Z"/>
        <d v="2017-02-19T00:00:00Z"/>
        <d v="2017-03-08T00:00:00Z"/>
        <d v="2017-03-15T00:00:00Z"/>
        <d v="2017-04-07T00:00:00Z"/>
        <d v="2017-04-27T00:00:00Z"/>
        <d v="2017-05-17T00:00:00Z"/>
        <d v="2017-05-18T00:00:00Z"/>
        <d v="2017-05-31T00:00:00Z"/>
        <d v="2017-07-05T00:00:00Z"/>
        <d v="2017-05-10T00:00:00Z"/>
        <d v="2017-07-14T00:00:00Z"/>
        <d v="2017-07-21T00:00:00Z"/>
        <d v="2017-08-08T00:00:00Z"/>
        <d v="2017-08-31T00:00:00Z"/>
        <d v="2017-10-03T00:00:00Z"/>
        <d v="2017-10-04T00:00:00Z"/>
        <d v="2017-10-10T00:00:00Z"/>
        <d v="2017-10-29T00:00:00Z"/>
        <d v="2017-11-01T00:00:00Z"/>
        <d v="2017-10-17T00:00:00Z"/>
        <d v="2017-10-23T00:00:00Z"/>
        <d v="2017-10-30T00:00:00Z"/>
        <d v="2017-11-08T00:00:00Z"/>
        <m/>
      </sharedItems>
    </cacheField>
    <cacheField name="Pivot dates" numFmtId="0">
      <sharedItems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</sharedItems>
    </cacheField>
    <cacheField name="Pivot release dates" numFmtId="0">
      <sharedItems containsBlank="1">
        <s v="2011-07"/>
        <s v="2011-08"/>
        <s v="2011-12"/>
        <s v="2012-01"/>
        <s v="2012-02"/>
        <s v="2012-03"/>
        <s v="2012-04"/>
        <s v="2012-05"/>
        <s v="2012-08"/>
        <s v="2012-10"/>
        <s v="2013-01"/>
        <s v="2013-02"/>
        <s v="2013-07"/>
        <s v="2013-03"/>
        <s v="2013-04"/>
        <s v="2013-05"/>
        <s v="2013-06"/>
        <s v="2013-08"/>
        <s v="2013-09"/>
        <s v="2014-01"/>
        <s v="2013-10"/>
        <s v="2013-11"/>
        <s v="2014-02"/>
        <s v="2013-12"/>
        <s v="2014-03"/>
        <s v="2014-04"/>
        <s v="2014-05"/>
        <s v="2014-07"/>
        <s v="2014-08"/>
        <s v="2014-10"/>
        <s v="2014-09"/>
        <s v="2014-11"/>
        <s v="2014-12"/>
        <s v="2015-01"/>
        <s v="2015-02"/>
        <s v="2015-04"/>
        <s v="2015-03"/>
        <s v="2016-01"/>
        <s v="2015-05"/>
        <s v="2015-06"/>
        <s v="2015-07"/>
        <s v="2015-08"/>
        <s v="2015-09"/>
        <s v="2015-11"/>
        <s v="2011-06"/>
        <s v="2015-10"/>
        <s v="2015-12"/>
        <s v="2016-02"/>
        <s v="2016-03"/>
        <s v="2016-04"/>
        <s v="2016-06"/>
        <s v="2016-05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7"/>
        <s v="2017-08"/>
        <s v="2017-10"/>
        <s v="2017-11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B93:AF998" sheet="Raw"/>
  </cacheSource>
  <cacheFields>
    <cacheField name="Date" numFmtId="167">
      <sharedItems containsSemiMixedTypes="0" containsDate="1" containsString="0">
        <d v="2008-12-30T00:00:00Z"/>
        <d v="2009-01-05T00:00:00Z"/>
        <d v="2009-01-06T00:00:00Z"/>
        <d v="2009-01-07T00:00:00Z"/>
        <d v="2009-01-12T00:00:00Z"/>
        <d v="2009-01-13T00:00:00Z"/>
        <d v="2009-01-14T00:00:00Z"/>
        <d v="2009-01-19T00:00:00Z"/>
        <d v="2009-01-20T00:00:00Z"/>
        <d v="2009-01-27T00:00:00Z"/>
        <d v="2009-01-28T00:00:00Z"/>
        <d v="2009-02-03T00:00:00Z"/>
        <d v="2009-02-10T00:00:00Z"/>
        <d v="2009-02-11T00:00:00Z"/>
        <d v="2009-02-17T00:00:00Z"/>
        <d v="2009-02-18T00:00:00Z"/>
        <d v="2009-02-24T00:00:00Z"/>
        <d v="2009-02-25T00:00:00Z"/>
        <d v="2009-03-03T00:00:00Z"/>
        <d v="2009-03-04T00:00:00Z"/>
        <d v="2009-03-10T00:00:00Z"/>
        <d v="2009-03-11T00:00:00Z"/>
        <d v="2009-03-17T00:00:00Z"/>
        <d v="2009-03-18T00:00:00Z"/>
        <d v="2009-03-24T00:00:00Z"/>
        <d v="2009-03-25T00:00:00Z"/>
        <d v="2009-03-31T00:00:00Z"/>
        <d v="2009-04-01T00:00:00Z"/>
        <d v="2009-04-07T00:00:00Z"/>
        <d v="2009-04-08T00:00:00Z"/>
        <d v="2009-04-14T00:00:00Z"/>
        <d v="2009-04-15T00:00:00Z"/>
        <d v="2009-04-21T00:00:00Z"/>
        <d v="2009-04-22T00:00:00Z"/>
        <d v="2009-04-28T00:00:00Z"/>
        <d v="2009-04-29T00:00:00Z"/>
        <d v="2009-05-05T00:00:00Z"/>
        <d v="2009-05-06T00:00:00Z"/>
        <d v="2009-05-12T00:00:00Z"/>
        <d v="2009-05-13T00:00:00Z"/>
        <d v="2009-05-19T00:00:00Z"/>
        <d v="2009-05-20T00:00:00Z"/>
        <d v="2009-05-26T00:00:00Z"/>
        <d v="2009-05-27T00:00:00Z"/>
        <d v="2009-06-02T00:00:00Z"/>
        <d v="2009-06-03T00:00:00Z"/>
        <d v="2009-06-09T00:00:00Z"/>
        <d v="2009-06-10T00:00:00Z"/>
        <d v="2009-06-16T00:00:00Z"/>
        <d v="2009-06-17T00:00:00Z"/>
        <d v="2009-06-23T00:00:00Z"/>
        <d v="2009-06-24T00:00:00Z"/>
        <d v="2009-06-30T00:00:00Z"/>
        <d v="2009-07-01T00:00:00Z"/>
        <d v="2009-07-07T00:00:00Z"/>
        <d v="2009-07-08T00:00:00Z"/>
        <d v="2009-07-14T00:00:00Z"/>
        <d v="2009-07-15T00:00:00Z"/>
        <d v="2009-07-21T00:00:00Z"/>
        <d v="2009-07-22T00:00:00Z"/>
        <d v="2009-07-28T00:00:00Z"/>
        <d v="2009-07-29T00:00:00Z"/>
        <d v="2009-08-04T00:00:00Z"/>
        <d v="2009-08-05T00:00:00Z"/>
        <d v="2009-08-11T00:00:00Z"/>
        <d v="2009-08-12T00:00:00Z"/>
        <d v="2009-08-18T00:00:00Z"/>
        <d v="2009-08-19T00:00:00Z"/>
        <d v="2009-08-25T00:00:00Z"/>
        <d v="2009-08-26T00:00:00Z"/>
        <d v="2009-09-01T00:00:00Z"/>
        <d v="2009-09-02T00:00:00Z"/>
        <d v="2009-09-08T00:00:00Z"/>
        <d v="2009-09-09T00:00:00Z"/>
        <d v="2009-09-15T00:00:00Z"/>
        <d v="2009-09-16T00:00:00Z"/>
        <d v="2009-09-22T00:00:00Z"/>
        <d v="2009-09-23T00:00:00Z"/>
        <d v="2009-09-29T00:00:00Z"/>
        <d v="2009-09-30T00:00:00Z"/>
        <d v="2009-10-06T00:00:00Z"/>
        <d v="2009-10-07T00:00:00Z"/>
        <d v="2009-10-13T00:00:00Z"/>
        <d v="2009-10-14T00:00:00Z"/>
        <d v="2009-10-20T00:00:00Z"/>
        <d v="2009-10-21T00:00:00Z"/>
        <d v="2009-10-27T00:00:00Z"/>
        <d v="2009-10-28T00:00:00Z"/>
        <d v="2009-11-03T00:00:00Z"/>
        <d v="2009-11-04T00:00:00Z"/>
        <d v="2009-11-10T00:00:00Z"/>
        <d v="2009-11-11T00:00:00Z"/>
        <d v="2009-11-17T00:00:00Z"/>
        <d v="2009-11-18T00:00:00Z"/>
        <d v="2009-11-24T00:00:00Z"/>
        <d v="2009-11-25T00:00:00Z"/>
        <d v="2009-12-01T00:00:00Z"/>
        <d v="2009-12-02T00:00:00Z"/>
        <d v="2009-12-08T00:00:00Z"/>
        <d v="2009-12-09T00:00:00Z"/>
        <d v="2009-12-15T00:00:00Z"/>
        <d v="2009-12-16T00:00:00Z"/>
        <d v="2009-12-22T00:00:00Z"/>
        <d v="2009-12-29T00:00:00Z"/>
        <d v="2009-12-30T00:00:00Z"/>
        <d v="2010-01-05T00:00:00Z"/>
        <d v="2010-01-06T00:00:00Z"/>
        <d v="2010-01-12T00:00:00Z"/>
        <d v="2010-01-13T00:00:00Z"/>
        <d v="2010-01-19T00:00:00Z"/>
        <d v="2010-01-26T00:00:00Z"/>
        <d v="2010-01-27T00:00:00Z"/>
        <d v="2010-02-02T00:00:00Z"/>
        <d v="2010-02-03T00:00:00Z"/>
        <d v="2010-02-09T00:00:00Z"/>
        <d v="2010-02-10T00:00:00Z"/>
        <d v="2010-02-16T00:00:00Z"/>
        <d v="2010-02-17T00:00:00Z"/>
        <d v="2010-02-23T00:00:00Z"/>
        <d v="2010-02-24T00:00:00Z"/>
        <d v="2010-03-02T00:00:00Z"/>
        <d v="2010-03-03T00:00:00Z"/>
        <d v="2010-03-09T00:00:00Z"/>
        <d v="2010-03-10T00:00:00Z"/>
        <d v="2010-03-16T00:00:00Z"/>
        <d v="2010-03-17T00:00:00Z"/>
        <d v="2010-03-23T00:00:00Z"/>
        <d v="2010-03-24T00:00:00Z"/>
        <d v="2010-03-30T00:00:00Z"/>
        <d v="2010-03-31T00:00:00Z"/>
        <d v="2010-04-06T00:00:00Z"/>
        <d v="2010-04-07T00:00:00Z"/>
        <d v="2010-04-13T00:00:00Z"/>
        <d v="2010-04-14T00:00:00Z"/>
        <d v="2010-04-20T00:00:00Z"/>
        <d v="2010-04-21T00:00:00Z"/>
        <d v="2010-04-27T00:00:00Z"/>
        <d v="2010-04-28T00:00:00Z"/>
        <d v="2010-05-04T00:00:00Z"/>
        <d v="2010-05-05T00:00:00Z"/>
        <d v="2010-05-11T00:00:00Z"/>
        <d v="2010-05-12T00:00:00Z"/>
        <d v="2010-05-18T00:00:00Z"/>
        <d v="2010-05-19T00:00:00Z"/>
        <d v="2010-05-25T00:00:00Z"/>
        <d v="2010-05-26T00:00:00Z"/>
        <d v="2010-06-01T00:00:00Z"/>
        <d v="2010-06-02T00:00:00Z"/>
        <d v="2010-06-08T00:00:00Z"/>
        <d v="2010-06-09T00:00:00Z"/>
        <d v="2010-06-15T00:00:00Z"/>
        <d v="2010-06-16T00:00:00Z"/>
        <d v="2010-06-22T00:00:00Z"/>
        <d v="2010-06-23T00:00:00Z"/>
        <d v="2010-06-29T00:00:00Z"/>
        <d v="2010-06-30T00:00:00Z"/>
        <d v="2010-07-06T00:00:00Z"/>
        <d v="2010-07-07T00:00:00Z"/>
        <d v="2010-07-13T00:00:00Z"/>
        <d v="2010-07-14T00:00:00Z"/>
        <d v="2010-07-20T00:00:00Z"/>
        <d v="2010-07-21T00:00:00Z"/>
        <d v="2010-07-27T00:00:00Z"/>
        <d v="2010-07-28T00:00:00Z"/>
        <d v="2010-08-03T00:00:00Z"/>
        <d v="2010-08-04T00:00:00Z"/>
        <d v="2010-08-10T00:00:00Z"/>
        <d v="2010-08-11T00:00:00Z"/>
        <d v="2010-08-17T00:00:00Z"/>
        <d v="2010-08-18T00:00:00Z"/>
        <d v="2010-08-24T00:00:00Z"/>
        <d v="2010-08-25T00:00:00Z"/>
        <d v="2010-08-31T00:00:00Z"/>
        <d v="2010-09-01T00:00:00Z"/>
        <d v="2010-09-07T00:00:00Z"/>
        <d v="2010-09-08T00:00:00Z"/>
        <d v="2010-09-14T00:00:00Z"/>
        <d v="2010-09-15T00:00:00Z"/>
        <d v="2010-09-21T00:00:00Z"/>
        <d v="2010-09-22T00:00:00Z"/>
        <d v="2010-09-28T00:00:00Z"/>
        <d v="2010-09-29T00:00:00Z"/>
        <d v="2010-10-05T00:00:00Z"/>
        <d v="2010-10-06T00:00:00Z"/>
        <d v="2010-10-12T00:00:00Z"/>
        <d v="2010-10-13T00:00:00Z"/>
        <d v="2010-10-19T00:00:00Z"/>
        <d v="2010-10-20T00:00:00Z"/>
        <d v="2010-10-26T00:00:00Z"/>
        <d v="2010-10-27T00:00:00Z"/>
        <d v="2010-11-02T00:00:00Z"/>
        <d v="2010-11-03T00:00:00Z"/>
        <d v="2010-11-09T00:00:00Z"/>
        <d v="2010-11-10T00:00:00Z"/>
        <d v="2010-11-16T00:00:00Z"/>
        <d v="2010-11-17T00:00:00Z"/>
        <d v="2010-11-23T00:00:00Z"/>
        <d v="2010-11-30T00:00:00Z"/>
        <d v="2010-12-01T00:00:00Z"/>
        <d v="2010-12-07T00:00:00Z"/>
        <d v="2010-12-08T00:00:00Z"/>
        <d v="2010-12-14T00:00:00Z"/>
        <d v="2010-12-15T00:00:00Z"/>
        <d v="2010-12-21T00:00:00Z"/>
        <d v="2010-12-22T00:00:00Z"/>
        <d v="2010-12-28T00:00:00Z"/>
        <d v="2010-12-29T00:00:00Z"/>
        <d v="2011-01-04T00:00:00Z"/>
        <d v="2011-01-05T00:00:00Z"/>
        <d v="2011-01-11T00:00:00Z"/>
        <d v="2011-01-12T00:00:00Z"/>
        <d v="2011-01-18T00:00:00Z"/>
        <d v="2011-01-19T00:00:00Z"/>
        <d v="2011-01-25T00:00:00Z"/>
        <d v="2011-02-01T00:00:00Z"/>
        <d v="2011-02-02T00:00:00Z"/>
        <d v="2011-02-08T00:00:00Z"/>
        <d v="2011-02-09T00:00:00Z"/>
        <d v="2011-02-15T00:00:00Z"/>
        <d v="2011-02-16T00:00:00Z"/>
        <d v="2011-02-22T00:00:00Z"/>
        <d v="2011-03-01T00:00:00Z"/>
        <d v="2011-03-08T00:00:00Z"/>
        <d v="2011-03-09T00:00:00Z"/>
        <d v="2011-03-15T00:00:00Z"/>
        <d v="2011-03-16T00:00:00Z"/>
        <d v="2011-03-22T00:00:00Z"/>
        <d v="2011-03-23T00:00:00Z"/>
        <d v="2011-03-29T00:00:00Z"/>
        <d v="2011-03-30T00:00:00Z"/>
        <d v="2011-04-05T00:00:00Z"/>
        <d v="2011-04-06T00:00:00Z"/>
        <d v="2011-04-12T00:00:00Z"/>
        <d v="2011-04-13T00:00:00Z"/>
        <d v="2011-04-19T00:00:00Z"/>
        <d v="2011-04-20T00:00:00Z"/>
        <d v="2011-04-26T00:00:00Z"/>
        <d v="2011-04-27T00:00:00Z"/>
        <d v="2011-05-03T00:00:00Z"/>
        <d v="2011-05-04T00:00:00Z"/>
        <d v="2011-05-10T00:00:00Z"/>
        <d v="2011-05-11T00:00:00Z"/>
        <d v="2011-05-17T00:00:00Z"/>
        <d v="2011-05-18T00:00:00Z"/>
        <d v="2011-05-24T00:00:00Z"/>
        <d v="2011-05-25T00:00:00Z"/>
        <d v="2011-05-31T00:00:00Z"/>
        <d v="2011-06-01T00:00:00Z"/>
        <d v="2011-06-07T00:00:00Z"/>
        <d v="2011-06-08T00:00:00Z"/>
        <d v="2011-06-14T00:00:00Z"/>
        <d v="2011-06-15T00:00:00Z"/>
        <d v="2011-06-21T00:00:00Z"/>
        <d v="2011-06-22T00:00:00Z"/>
        <d v="2011-06-28T00:00:00Z"/>
        <d v="2011-06-29T00:00:00Z"/>
        <d v="2011-07-05T00:00:00Z"/>
        <d v="2011-07-06T00:00:00Z"/>
        <d v="2011-07-12T00:00:00Z"/>
        <d v="2011-07-13T00:00:00Z"/>
        <d v="2011-07-19T00:00:00Z"/>
        <d v="2011-07-20T00:00:00Z"/>
        <d v="2011-07-26T00:00:00Z"/>
        <d v="2011-07-27T00:00:00Z"/>
        <d v="2011-08-02T00:00:00Z"/>
        <d v="2011-08-03T00:00:00Z"/>
        <d v="2011-08-09T00:00:00Z"/>
        <d v="2011-08-10T00:00:00Z"/>
        <d v="2011-08-16T00:00:00Z"/>
        <d v="2011-08-17T00:00:00Z"/>
        <d v="2011-08-23T00:00:00Z"/>
        <d v="2011-08-24T00:00:00Z"/>
        <d v="2011-08-30T00:00:00Z"/>
        <d v="2011-08-31T00:00:00Z"/>
        <d v="2011-09-06T00:00:00Z"/>
        <d v="2011-09-07T00:00:00Z"/>
        <d v="2011-09-13T00:00:00Z"/>
        <d v="2011-09-14T00:00:00Z"/>
        <d v="2011-09-20T00:00:00Z"/>
        <d v="2011-09-21T00:00:00Z"/>
        <d v="2011-09-27T00:00:00Z"/>
        <d v="2011-09-28T00:00:00Z"/>
        <d v="2011-10-04T00:00:00Z"/>
        <d v="2011-10-05T00:00:00Z"/>
        <d v="2011-10-11T00:00:00Z"/>
        <d v="2011-10-12T00:00:00Z"/>
        <d v="2011-10-18T00:00:00Z"/>
        <d v="2011-10-19T00:00:00Z"/>
        <d v="2011-10-25T00:00:00Z"/>
        <d v="2011-10-26T00:00:00Z"/>
        <d v="2011-11-01T00:00:00Z"/>
        <d v="2011-11-02T00:00:00Z"/>
        <d v="2011-11-08T00:00:00Z"/>
        <d v="2011-11-09T00:00:00Z"/>
        <d v="2011-11-15T00:00:00Z"/>
        <d v="2011-11-16T00:00:00Z"/>
        <d v="2011-11-22T00:00:00Z"/>
        <d v="2011-11-23T00:00:00Z"/>
        <d v="2011-11-29T00:00:00Z"/>
        <d v="2011-11-30T00:00:00Z"/>
        <d v="2011-12-06T00:00:00Z"/>
        <d v="2011-12-07T00:00:00Z"/>
        <d v="2011-12-13T00:00:00Z"/>
        <d v="2011-12-14T00:00:00Z"/>
        <d v="2011-12-20T00:00:00Z"/>
        <d v="2011-12-21T00:00:00Z"/>
        <d v="2011-12-27T00:00:00Z"/>
        <d v="2011-12-28T00:00:00Z"/>
        <d v="2012-01-03T00:00:00Z"/>
        <d v="2012-01-04T00:00:00Z"/>
        <d v="2012-01-10T00:00:00Z"/>
        <d v="2012-01-11T00:00:00Z"/>
        <d v="2012-01-17T00:00:00Z"/>
        <d v="2012-01-18T00:00:00Z"/>
        <d v="2012-01-24T00:00:00Z"/>
        <d v="2012-01-25T00:00:00Z"/>
        <d v="2012-01-31T00:00:00Z"/>
        <d v="2012-02-01T00:00:00Z"/>
        <d v="2012-02-07T00:00:00Z"/>
        <d v="2012-02-08T00:00:00Z"/>
        <d v="2012-02-14T00:00:00Z"/>
        <d v="2012-02-15T00:00:00Z"/>
        <d v="2012-02-21T00:00:00Z"/>
        <d v="2012-02-22T00:00:00Z"/>
        <d v="2012-02-28T00:00:00Z"/>
        <d v="2012-02-29T00:00:00Z"/>
        <d v="2012-03-06T00:00:00Z"/>
        <d v="2012-03-07T00:00:00Z"/>
        <d v="2012-03-13T00:00:00Z"/>
        <d v="2012-03-14T00:00:00Z"/>
        <d v="2012-03-20T00:00:00Z"/>
        <d v="2012-03-21T00:00:00Z"/>
        <d v="2012-03-27T00:00:00Z"/>
        <d v="2012-03-28T00:00:00Z"/>
        <d v="2012-04-03T00:00:00Z"/>
        <d v="2012-04-04T00:00:00Z"/>
        <d v="2012-04-10T00:00:00Z"/>
        <d v="2012-04-11T00:00:00Z"/>
        <d v="2012-04-17T00:00:00Z"/>
        <d v="2012-04-18T00:00:00Z"/>
        <d v="2012-04-24T00:00:00Z"/>
        <d v="2012-04-25T00:00:00Z"/>
        <d v="2012-05-01T00:00:00Z"/>
        <d v="2012-05-02T00:00:00Z"/>
        <d v="2012-05-08T00:00:00Z"/>
        <d v="2012-05-09T00:00:00Z"/>
        <d v="2012-05-15T00:00:00Z"/>
        <d v="2012-05-16T00:00:00Z"/>
        <d v="2012-05-22T00:00:00Z"/>
        <d v="2012-05-23T00:00:00Z"/>
        <d v="2012-05-29T00:00:00Z"/>
        <d v="2012-05-30T00:00:00Z"/>
        <d v="2012-06-05T00:00:00Z"/>
        <d v="2012-06-12T00:00:00Z"/>
        <d v="2012-06-13T00:00:00Z"/>
        <d v="2012-06-19T00:00:00Z"/>
        <d v="2012-06-20T00:00:00Z"/>
        <d v="2012-06-26T00:00:00Z"/>
        <d v="2012-06-27T00:00:00Z"/>
        <d v="2012-07-03T00:00:00Z"/>
        <d v="2012-07-04T00:00:00Z"/>
        <d v="2012-07-10T00:00:00Z"/>
        <d v="2012-07-11T00:00:00Z"/>
        <d v="2012-07-17T00:00:00Z"/>
        <d v="2012-07-24T00:00:00Z"/>
        <d v="2012-07-25T00:00:00Z"/>
        <d v="2012-07-31T00:00:00Z"/>
        <d v="2012-08-01T00:00:00Z"/>
        <d v="2012-08-07T00:00:00Z"/>
        <d v="2012-08-08T00:00:00Z"/>
        <d v="2012-08-14T00:00:00Z"/>
        <d v="2012-08-15T00:00:00Z"/>
        <d v="2012-08-21T00:00:00Z"/>
        <d v="2012-08-22T00:00:00Z"/>
        <d v="2012-08-28T00:00:00Z"/>
        <d v="2012-08-29T00:00:00Z"/>
        <d v="2012-09-04T00:00:00Z"/>
        <d v="2012-09-05T00:00:00Z"/>
        <d v="2012-09-11T00:00:00Z"/>
        <d v="2012-09-12T00:00:00Z"/>
        <d v="2012-09-18T00:00:00Z"/>
        <d v="2012-09-25T00:00:00Z"/>
        <d v="2012-09-26T00:00:00Z"/>
        <d v="2012-10-02T00:00:00Z"/>
        <d v="2012-10-09T00:00:00Z"/>
        <d v="2012-10-10T00:00:00Z"/>
        <d v="2012-10-16T00:00:00Z"/>
        <d v="2012-10-17T00:00:00Z"/>
        <d v="2012-10-23T00:00:00Z"/>
        <d v="2012-10-24T00:00:00Z"/>
        <d v="2012-10-30T00:00:00Z"/>
        <d v="2012-10-31T00:00:00Z"/>
        <d v="2012-11-06T00:00:00Z"/>
        <d v="2012-11-13T00:00:00Z"/>
        <d v="2012-11-14T00:00:00Z"/>
        <d v="2012-11-20T00:00:00Z"/>
        <d v="2012-11-21T00:00:00Z"/>
        <d v="2012-11-27T00:00:00Z"/>
        <d v="2012-11-28T00:00:00Z"/>
        <d v="2012-12-04T00:00:00Z"/>
        <d v="2012-12-05T00:00:00Z"/>
        <d v="2012-12-11T00:00:00Z"/>
        <d v="2012-12-12T00:00:00Z"/>
        <d v="2012-12-18T00:00:00Z"/>
        <d v="2012-12-24T00:00:00Z"/>
        <d v="2012-12-25T00:00:00Z"/>
        <d v="2012-12-26T00:00:00Z"/>
        <d v="2012-12-31T00:00:00Z"/>
        <d v="2013-01-01T00:00:00Z"/>
        <d v="2013-01-08T00:00:00Z"/>
        <d v="2013-01-15T00:00:00Z"/>
        <d v="2013-01-16T00:00:00Z"/>
        <d v="2013-01-22T00:00:00Z"/>
        <d v="2013-01-23T00:00:00Z"/>
        <d v="2013-01-29T00:00:00Z"/>
        <d v="2013-01-30T00:00:00Z"/>
        <d v="2013-02-05T00:00:00Z"/>
        <d v="2013-02-06T00:00:00Z"/>
        <d v="2013-02-12T00:00:00Z"/>
        <d v="2013-02-13T00:00:00Z"/>
        <d v="2013-02-19T00:00:00Z"/>
        <d v="2013-02-26T00:00:00Z"/>
        <d v="2013-02-27T00:00:00Z"/>
        <d v="2013-03-05T00:00:00Z"/>
        <d v="2013-03-06T00:00:00Z"/>
        <d v="2013-03-12T00:00:00Z"/>
        <d v="2013-03-13T00:00:00Z"/>
        <d v="2013-03-19T00:00:00Z"/>
        <d v="2013-03-20T00:00:00Z"/>
        <d v="2013-03-26T00:00:00Z"/>
        <d v="2013-04-02T00:00:00Z"/>
        <d v="2013-04-03T00:00:00Z"/>
        <d v="2013-04-09T00:00:00Z"/>
        <d v="2013-04-10T00:00:00Z"/>
        <d v="2013-04-16T00:00:00Z"/>
        <d v="2013-04-17T00:00:00Z"/>
        <d v="2013-04-23T00:00:00Z"/>
        <d v="2013-04-24T00:00:00Z"/>
        <d v="2013-04-30T00:00:00Z"/>
        <d v="2013-05-01T00:00:00Z"/>
        <d v="2013-05-07T00:00:00Z"/>
        <d v="2013-05-08T00:00:00Z"/>
        <d v="2013-05-14T00:00:00Z"/>
        <d v="2013-05-15T00:00:00Z"/>
        <d v="2013-05-21T00:00:00Z"/>
        <d v="2013-05-22T00:00:00Z"/>
        <d v="2013-05-28T00:00:00Z"/>
        <d v="2013-05-29T00:00:00Z"/>
        <d v="2013-06-04T00:00:00Z"/>
        <d v="2013-06-05T00:00:00Z"/>
        <d v="2013-06-11T00:00:00Z"/>
        <d v="2013-06-12T00:00:00Z"/>
        <d v="2013-06-18T00:00:00Z"/>
        <d v="2013-06-19T00:00:00Z"/>
        <d v="2013-06-25T00:00:00Z"/>
        <d v="2013-06-26T00:00:00Z"/>
        <d v="2013-07-01T00:00:00Z"/>
        <d v="2013-07-02T00:00:00Z"/>
        <d v="2013-07-03T00:00:00Z"/>
        <d v="2013-07-09T00:00:00Z"/>
        <d v="2013-07-10T00:00:00Z"/>
        <d v="2013-07-16T00:00:00Z"/>
        <d v="2013-07-17T00:00:00Z"/>
        <d v="2013-07-23T00:00:00Z"/>
        <d v="2013-07-24T00:00:00Z"/>
        <d v="2013-07-30T00:00:00Z"/>
        <d v="2013-07-31T00:00:00Z"/>
        <d v="2013-08-05T00:00:00Z"/>
        <d v="2013-08-06T00:00:00Z"/>
        <d v="2013-08-07T00:00:00Z"/>
        <d v="2013-08-13T00:00:00Z"/>
        <d v="2013-08-14T00:00:00Z"/>
        <d v="2013-08-20T00:00:00Z"/>
        <d v="2013-08-21T00:00:00Z"/>
        <d v="2013-08-27T00:00:00Z"/>
        <d v="2013-08-28T00:00:00Z"/>
        <d v="2013-09-03T00:00:00Z"/>
        <d v="2013-09-04T00:00:00Z"/>
        <d v="2013-09-10T00:00:00Z"/>
        <d v="2013-09-11T00:00:00Z"/>
        <d v="2013-09-17T00:00:00Z"/>
        <d v="2013-09-18T00:00:00Z"/>
        <d v="2013-09-24T00:00:00Z"/>
        <d v="2013-09-25T00:00:00Z"/>
        <d v="2013-09-30T00:00:00Z"/>
        <d v="2013-10-01T00:00:00Z"/>
        <d v="2013-10-02T00:00:00Z"/>
        <d v="2013-10-08T00:00:00Z"/>
        <d v="2013-10-09T00:00:00Z"/>
        <d v="2013-10-15T00:00:00Z"/>
        <d v="2013-10-16T00:00:00Z"/>
        <d v="2013-10-22T00:00:00Z"/>
        <d v="2013-10-23T00:00:00Z"/>
        <d v="2013-10-29T00:00:00Z"/>
        <d v="2013-11-04T00:00:00Z"/>
        <d v="2013-11-05T00:00:00Z"/>
        <d v="2013-11-12T00:00:00Z"/>
        <d v="2013-11-19T00:00:00Z"/>
        <d v="2013-11-20T00:00:00Z"/>
        <d v="2013-11-26T00:00:00Z"/>
        <d v="2013-11-27T00:00:00Z"/>
        <d v="2013-12-03T00:00:00Z"/>
        <d v="2013-12-04T00:00:00Z"/>
        <d v="2013-12-10T00:00:00Z"/>
        <d v="2013-12-11T00:00:00Z"/>
        <d v="2013-12-17T00:00:00Z"/>
        <d v="2013-12-24T00:00:00Z"/>
        <d v="2013-12-31T00:00:00Z"/>
        <d v="2014-01-01T00:00:00Z"/>
        <d v="2014-01-07T00:00:00Z"/>
        <d v="2014-01-08T00:00:00Z"/>
        <d v="2014-01-14T00:00:00Z"/>
        <d v="2014-01-15T00:00:00Z"/>
        <d v="2014-01-21T00:00:00Z"/>
        <d v="2014-01-22T00:00:00Z"/>
        <d v="2014-01-28T00:00:00Z"/>
        <d v="2014-01-29T00:00:00Z"/>
        <d v="2014-02-04T00:00:00Z"/>
        <d v="2014-02-05T00:00:00Z"/>
        <d v="2014-02-11T00:00:00Z"/>
        <d v="2014-02-12T00:00:00Z"/>
        <d v="2014-02-18T00:00:00Z"/>
        <d v="2014-02-19T00:00:00Z"/>
        <d v="2014-02-25T00:00:00Z"/>
        <d v="2014-02-26T00:00:00Z"/>
        <d v="2014-03-04T00:00:00Z"/>
        <d v="2014-03-05T00:00:00Z"/>
        <d v="2014-03-11T00:00:00Z"/>
        <d v="2014-03-18T00:00:00Z"/>
        <d v="2014-03-19T00:00:00Z"/>
        <d v="2014-03-25T00:00:00Z"/>
        <d v="2014-03-26T00:00:00Z"/>
        <d v="2014-04-01T00:00:00Z"/>
        <d v="2014-04-02T00:00:00Z"/>
        <d v="2014-04-08T00:00:00Z"/>
        <d v="2014-04-09T00:00:00Z"/>
        <d v="2014-04-15T00:00:00Z"/>
        <d v="2014-04-16T00:00:00Z"/>
        <d v="2014-04-22T00:00:00Z"/>
        <d v="2014-04-23T00:00:00Z"/>
        <d v="2014-04-29T00:00:00Z"/>
        <d v="2014-04-30T00:00:00Z"/>
        <d v="2014-05-06T00:00:00Z"/>
        <d v="2014-05-07T00:00:00Z"/>
        <d v="2014-05-13T00:00:00Z"/>
        <d v="2014-05-14T00:00:00Z"/>
        <d v="2014-05-20T00:00:00Z"/>
        <d v="2014-05-21T00:00:00Z"/>
        <d v="2014-05-27T00:00:00Z"/>
        <d v="2014-05-28T00:00:00Z"/>
        <d v="2014-06-03T00:00:00Z"/>
        <d v="2014-06-04T00:00:00Z"/>
        <d v="2014-06-10T00:00:00Z"/>
        <d v="2014-06-11T00:00:00Z"/>
        <d v="2014-06-17T00:00:00Z"/>
        <d v="2014-06-18T00:00:00Z"/>
        <d v="2014-06-24T00:00:00Z"/>
        <d v="2014-06-25T00:00:00Z"/>
        <d v="2014-07-01T00:00:00Z"/>
        <d v="2014-07-02T00:00:00Z"/>
        <d v="2014-07-08T00:00:00Z"/>
        <d v="2014-07-09T00:00:00Z"/>
        <d v="2014-07-15T00:00:00Z"/>
        <d v="2014-07-16T00:00:00Z"/>
        <d v="2014-07-22T00:00:00Z"/>
        <d v="2014-07-23T00:00:00Z"/>
        <d v="2014-07-29T00:00:00Z"/>
        <d v="2014-07-30T00:00:00Z"/>
        <d v="2014-08-05T00:00:00Z"/>
        <d v="2014-08-06T00:00:00Z"/>
        <d v="2014-08-12T00:00:00Z"/>
        <d v="2014-08-13T00:00:00Z"/>
        <d v="2014-08-19T00:00:00Z"/>
        <d v="2014-08-20T00:00:00Z"/>
        <d v="2014-08-26T00:00:00Z"/>
        <d v="2014-08-27T00:00:00Z"/>
        <d v="2014-09-02T00:00:00Z"/>
        <d v="2014-09-03T00:00:00Z"/>
        <d v="2014-09-09T00:00:00Z"/>
        <d v="2014-09-10T00:00:00Z"/>
        <d v="2014-09-16T00:00:00Z"/>
        <d v="2014-09-17T00:00:00Z"/>
        <d v="2014-09-23T00:00:00Z"/>
        <d v="2014-09-24T00:00:00Z"/>
        <d v="2014-09-30T00:00:00Z"/>
        <d v="2014-10-01T00:00:00Z"/>
        <d v="2014-10-07T00:00:00Z"/>
        <d v="2014-10-08T00:00:00Z"/>
        <d v="2014-10-14T00:00:00Z"/>
        <d v="2014-10-15T00:00:00Z"/>
        <d v="2014-10-21T00:00:00Z"/>
        <d v="2014-10-22T00:00:00Z"/>
        <d v="2014-10-28T00:00:00Z"/>
        <d v="2014-10-29T00:00:00Z"/>
        <d v="2014-11-04T00:00:00Z"/>
        <d v="2014-11-05T00:00:00Z"/>
        <d v="2014-11-11T00:00:00Z"/>
        <d v="2014-11-12T00:00:00Z"/>
        <d v="2014-11-18T00:00:00Z"/>
        <d v="2014-11-19T00:00:00Z"/>
        <d v="2014-11-25T00:00:00Z"/>
        <d v="2014-11-26T00:00:00Z"/>
        <d v="2014-12-02T00:00:00Z"/>
        <d v="2014-12-03T00:00:00Z"/>
        <d v="2014-12-09T00:00:00Z"/>
        <d v="2014-12-10T00:00:00Z"/>
        <d v="2014-12-16T00:00:00Z"/>
        <d v="2014-12-17T00:00:00Z"/>
        <d v="2014-12-23T00:00:00Z"/>
        <d v="2014-12-24T00:00:00Z"/>
        <d v="2014-12-30T00:00:00Z"/>
        <d v="2014-12-31T00:00:00Z"/>
        <d v="2015-01-06T00:00:00Z"/>
        <d v="2015-01-07T00:00:00Z"/>
        <d v="2015-01-13T00:00:00Z"/>
        <d v="2015-01-14T00:00:00Z"/>
        <d v="2015-01-20T00:00:00Z"/>
        <d v="2015-01-21T00:00:00Z"/>
        <d v="2015-01-27T00:00:00Z"/>
        <d v="2015-01-28T00:00:00Z"/>
        <d v="2015-02-03T00:00:00Z"/>
        <d v="2015-02-04T00:00:00Z"/>
        <d v="2015-02-10T00:00:00Z"/>
        <d v="2015-02-11T00:00:00Z"/>
        <d v="2015-02-17T00:00:00Z"/>
        <d v="2015-02-18T00:00:00Z"/>
        <d v="2015-02-24T00:00:00Z"/>
        <d v="2015-03-03T00:00:00Z"/>
        <d v="2015-03-04T00:00:00Z"/>
        <d v="2015-03-10T00:00:00Z"/>
        <d v="2015-03-11T00:00:00Z"/>
        <d v="2015-03-17T00:00:00Z"/>
        <d v="2015-03-18T00:00:00Z"/>
        <d v="2015-03-24T00:00:00Z"/>
        <d v="2015-03-25T00:00:00Z"/>
        <d v="2015-03-31T00:00:00Z"/>
        <d v="2015-04-01T00:00:00Z"/>
        <d v="2015-04-07T00:00:00Z"/>
        <d v="2015-04-08T00:00:00Z"/>
        <d v="2015-04-14T00:00:00Z"/>
        <d v="2015-04-15T00:00:00Z"/>
        <d v="2015-04-21T00:00:00Z"/>
        <d v="2015-04-22T00:00:00Z"/>
        <d v="2015-04-28T00:00:00Z"/>
        <d v="2015-04-29T00:00:00Z"/>
        <d v="2015-05-05T00:00:00Z"/>
        <d v="2015-05-06T00:00:00Z"/>
        <d v="2015-05-12T00:00:00Z"/>
        <d v="2015-05-13T00:00:00Z"/>
        <d v="2015-05-19T00:00:00Z"/>
        <d v="2015-05-20T00:00:00Z"/>
        <d v="2015-05-26T00:00:00Z"/>
        <d v="2015-05-27T00:00:00Z"/>
        <d v="2015-06-02T00:00:00Z"/>
        <d v="2015-06-03T00:00:00Z"/>
        <d v="2015-06-09T00:00:00Z"/>
        <d v="2015-06-10T00:00:00Z"/>
        <d v="2015-06-16T00:00:00Z"/>
        <d v="2015-06-17T00:00:00Z"/>
        <d v="2015-06-23T00:00:00Z"/>
        <d v="2015-06-24T00:00:00Z"/>
        <d v="2015-06-30T00:00:00Z"/>
        <d v="2015-07-01T00:00:00Z"/>
        <d v="2015-07-07T00:00:00Z"/>
        <d v="2015-07-08T00:00:00Z"/>
        <d v="2015-07-14T00:00:00Z"/>
        <d v="2015-07-15T00:00:00Z"/>
        <d v="2015-07-21T00:00:00Z"/>
        <d v="2015-07-22T00:00:00Z"/>
        <d v="2015-07-28T00:00:00Z"/>
        <d v="2015-07-29T00:00:00Z"/>
        <d v="2015-08-04T00:00:00Z"/>
        <d v="2015-08-05T00:00:00Z"/>
        <d v="2015-08-11T00:00:00Z"/>
        <d v="2015-08-12T00:00:00Z"/>
        <d v="2015-08-18T00:00:00Z"/>
        <d v="2015-08-19T00:00:00Z"/>
        <d v="2015-08-25T00:00:00Z"/>
        <d v="2015-08-26T00:00:00Z"/>
        <d v="2015-09-01T00:00:00Z"/>
        <d v="2015-09-02T00:00:00Z"/>
        <d v="2015-09-08T00:00:00Z"/>
        <d v="2015-09-09T00:00:00Z"/>
        <d v="2015-09-15T00:00:00Z"/>
        <d v="2015-09-16T00:00:00Z"/>
        <d v="2015-09-22T00:00:00Z"/>
        <d v="2015-09-23T00:00:00Z"/>
        <d v="2015-09-29T00:00:00Z"/>
        <d v="2015-09-30T00:00:00Z"/>
        <d v="2015-10-06T00:00:00Z"/>
        <d v="2015-10-07T00:00:00Z"/>
        <d v="2015-10-13T00:00:00Z"/>
        <d v="2015-10-14T00:00:00Z"/>
        <d v="2015-10-20T00:00:00Z"/>
        <d v="2015-10-21T00:00:00Z"/>
        <d v="2015-10-27T00:00:00Z"/>
        <d v="2015-10-28T00:00:00Z"/>
        <d v="2015-11-03T00:00:00Z"/>
        <d v="2015-11-09T00:00:00Z"/>
        <d v="2015-11-10T00:00:00Z"/>
        <d v="2015-11-11T00:00:00Z"/>
        <d v="2015-11-17T00:00:00Z"/>
        <d v="2015-11-18T00:00:00Z"/>
        <d v="2015-11-24T00:00:00Z"/>
        <d v="2015-11-25T00:00:00Z"/>
        <d v="2015-12-01T00:00:00Z"/>
        <d v="2015-12-08T00:00:00Z"/>
        <d v="2015-12-15T00:00:00Z"/>
        <d v="2015-12-22T00:00:00Z"/>
        <d v="2015-12-23T00:00:00Z"/>
        <d v="2015-12-29T00:00:00Z"/>
        <d v="2015-12-30T00:00:00Z"/>
        <d v="2016-01-05T00:00:00Z"/>
        <d v="2016-01-06T00:00:00Z"/>
        <d v="2016-01-12T00:00:00Z"/>
        <d v="2016-01-19T00:00:00Z"/>
        <d v="2016-01-20T00:00:00Z"/>
        <d v="2016-01-26T00:00:00Z"/>
        <d v="2016-01-27T00:00:00Z"/>
        <d v="2016-02-02T00:00:00Z"/>
        <d v="2016-02-03T00:00:00Z"/>
        <d v="2016-02-09T00:00:00Z"/>
        <d v="2016-02-10T00:00:00Z"/>
        <d v="2016-02-16T00:00:00Z"/>
        <d v="2016-02-17T00:00:00Z"/>
        <d v="2016-02-23T00:00:00Z"/>
        <d v="2016-02-24T00:00:00Z"/>
        <d v="2016-03-01T00:00:00Z"/>
        <d v="2016-03-02T00:00:00Z"/>
        <d v="2016-03-08T00:00:00Z"/>
        <d v="2016-03-15T00:00:00Z"/>
        <d v="2016-03-16T00:00:00Z"/>
        <d v="2016-03-22T00:00:00Z"/>
        <d v="2016-03-29T00:00:00Z"/>
        <d v="2016-03-30T00:00:00Z"/>
        <d v="2016-04-05T00:00:00Z"/>
        <d v="2016-04-06T00:00:00Z"/>
        <d v="2016-04-12T00:00:00Z"/>
        <d v="2016-04-13T00:00:00Z"/>
        <d v="2016-04-19T00:00:00Z"/>
        <d v="2016-04-20T00:00:00Z"/>
        <d v="2016-04-26T00:00:00Z"/>
        <d v="2016-04-27T00:00:00Z"/>
        <d v="2016-05-03T00:00:00Z"/>
        <d v="2016-05-04T00:00:00Z"/>
        <d v="2016-05-10T00:00:00Z"/>
        <d v="2016-05-11T00:00:00Z"/>
        <d v="2016-05-17T00:00:00Z"/>
        <d v="2016-05-18T00:00:00Z"/>
        <d v="2016-05-24T00:00:00Z"/>
        <d v="2016-05-25T00:00:00Z"/>
        <d v="2016-05-31T00:00:00Z"/>
        <d v="2016-06-01T00:00:00Z"/>
        <d v="2016-06-07T00:00:00Z"/>
        <d v="2016-06-08T00:00:00Z"/>
        <d v="2016-06-14T00:00:00Z"/>
        <d v="2016-06-15T00:00:00Z"/>
        <d v="2016-06-21T00:00:00Z"/>
        <d v="2016-06-22T00:00:00Z"/>
        <d v="2016-06-28T00:00:00Z"/>
        <d v="2016-06-29T00:00:00Z"/>
        <d v="2016-07-05T00:00:00Z"/>
        <d v="2016-07-06T00:00:00Z"/>
        <d v="2016-07-12T00:00:00Z"/>
        <d v="2016-07-13T00:00:00Z"/>
        <d v="2016-07-19T00:00:00Z"/>
        <d v="2016-07-20T00:00:00Z"/>
        <d v="2016-07-26T00:00:00Z"/>
        <d v="2016-07-27T00:00:00Z"/>
        <d v="2016-08-02T00:00:00Z"/>
        <d v="2016-08-03T00:00:00Z"/>
        <d v="2016-08-09T00:00:00Z"/>
        <d v="2016-08-10T00:00:00Z"/>
        <d v="2016-08-15T00:00:00Z"/>
        <d v="2016-08-16T00:00:00Z"/>
        <d v="2016-08-17T00:00:00Z"/>
        <d v="2016-08-23T00:00:00Z"/>
        <d v="2016-08-24T00:00:00Z"/>
        <d v="2016-08-29T00:00:00Z"/>
        <d v="2016-08-30T00:00:00Z"/>
        <d v="2016-08-31T00:00:00Z"/>
        <d v="2016-09-06T00:00:00Z"/>
        <d v="2016-09-07T00:00:00Z"/>
        <d v="2016-09-13T00:00:00Z"/>
        <d v="2016-09-14T00:00:00Z"/>
        <d v="2016-09-20T00:00:00Z"/>
        <d v="2016-09-21T00:00:00Z"/>
        <d v="2016-09-27T00:00:00Z"/>
        <d v="2016-09-28T00:00:00Z"/>
        <d v="2016-10-04T00:00:00Z"/>
        <d v="2016-10-05T00:00:00Z"/>
        <d v="2016-10-11T00:00:00Z"/>
        <d v="2016-10-12T00:00:00Z"/>
        <d v="2016-10-18T00:00:00Z"/>
        <d v="2016-10-19T00:00:00Z"/>
        <d v="2016-10-25T00:00:00Z"/>
        <d v="2016-10-26T00:00:00Z"/>
        <d v="2016-11-01T00:00:00Z"/>
        <d v="2016-11-02T00:00:00Z"/>
        <d v="2016-11-07T00:00:00Z"/>
        <d v="2016-11-08T00:00:00Z"/>
        <d v="2016-11-14T00:00:00Z"/>
        <d v="2016-11-15T00:00:00Z"/>
        <d v="2016-11-16T00:00:00Z"/>
        <d v="2016-11-21T00:00:00Z"/>
        <d v="2016-11-22T00:00:00Z"/>
        <d v="2016-11-23T00:00:00Z"/>
        <d v="2016-11-28T00:00:00Z"/>
        <d v="2016-11-29T00:00:00Z"/>
        <d v="2016-12-05T00:00:00Z"/>
        <d v="2016-12-06T00:00:00Z"/>
        <d v="2016-12-07T00:00:00Z"/>
        <d v="2016-12-13T00:00:00Z"/>
        <d v="2016-12-19T00:00:00Z"/>
        <d v="2016-12-20T00:00:00Z"/>
        <d v="2016-12-26T00:00:00Z"/>
        <d v="2016-12-27T00:00:00Z"/>
        <d v="2017-01-03T00:00:00Z"/>
        <d v="2017-01-09T00:00:00Z"/>
        <d v="2017-01-10T00:00:00Z"/>
        <d v="2017-01-11T00:00:00Z"/>
        <d v="2017-01-16T00:00:00Z"/>
        <d v="2017-01-17T00:00:00Z"/>
        <d v="2017-01-24T00:00:00Z"/>
        <d v="2017-01-25T00:00:00Z"/>
        <d v="2017-01-30T00:00:00Z"/>
        <d v="2017-01-31T00:00:00Z"/>
        <d v="2017-02-07T00:00:00Z"/>
        <d v="2017-02-08T00:00:00Z"/>
        <d v="2017-02-13T00:00:00Z"/>
        <d v="2017-02-14T00:00:00Z"/>
        <d v="2017-02-21T00:00:00Z"/>
        <d v="2017-02-27T00:00:00Z"/>
        <d v="2017-02-28T00:00:00Z"/>
        <d v="2017-03-06T00:00:00Z"/>
        <d v="2017-03-07T00:00:00Z"/>
        <d v="2017-03-08T00:00:00Z"/>
        <d v="2017-03-14T00:00:00Z"/>
        <d v="2017-03-15T00:00:00Z"/>
        <d v="2017-03-21T00:00:00Z"/>
        <d v="2017-03-22T00:00:00Z"/>
        <d v="2017-03-27T00:00:00Z"/>
        <d v="2017-03-28T00:00:00Z"/>
        <d v="2017-03-29T00:00:00Z"/>
        <d v="2017-04-03T00:00:00Z"/>
        <d v="2017-04-04T00:00:00Z"/>
        <d v="2017-04-05T00:00:00Z"/>
        <d v="2017-04-11T00:00:00Z"/>
        <d v="2017-04-12T00:00:00Z"/>
        <d v="2017-04-18T00:00:00Z"/>
        <d v="2017-04-19T00:00:00Z"/>
        <d v="2017-04-24T00:00:00Z"/>
        <d v="2017-04-25T00:00:00Z"/>
        <d v="2017-04-26T00:00:00Z"/>
        <d v="2017-05-02T00:00:00Z"/>
        <d v="2017-05-03T00:00:00Z"/>
        <d v="2017-05-09T00:00:00Z"/>
        <d v="2017-05-10T00:00:00Z"/>
        <d v="2017-05-16T00:00:00Z"/>
        <d v="2017-05-17T00:00:00Z"/>
        <d v="2017-05-23T00:00:00Z"/>
        <d v="2017-05-24T00:00:00Z"/>
        <d v="2017-05-30T00:00:00Z"/>
        <d v="2017-05-31T00:00:00Z"/>
        <d v="2017-06-05T00:00:00Z"/>
        <d v="2017-06-06T00:00:00Z"/>
        <d v="2017-06-07T00:00:00Z"/>
        <d v="2017-06-13T00:00:00Z"/>
        <d v="2017-06-14T00:00:00Z"/>
        <d v="2017-06-20T00:00:00Z"/>
        <d v="2017-06-21T00:00:00Z"/>
        <d v="2017-06-27T00:00:00Z"/>
        <d v="2017-06-28T00:00:00Z"/>
        <d v="2017-07-04T00:00:00Z"/>
        <d v="2017-07-05T00:00:00Z"/>
        <d v="2017-07-11T00:00:00Z"/>
        <d v="2017-07-12T00:00:00Z"/>
        <d v="2017-07-18T00:00:00Z"/>
        <d v="2017-07-19T00:00:00Z"/>
        <d v="2017-07-25T00:00:00Z"/>
        <d v="2017-07-26T00:00:00Z"/>
        <d v="2017-08-01T00:00:00Z"/>
        <d v="2017-08-02T00:00:00Z"/>
        <d v="2017-08-08T00:00:00Z"/>
        <d v="2017-08-09T00:00:00Z"/>
        <d v="2017-08-14T00:00:00Z"/>
        <d v="2017-08-15T00:00:00Z"/>
        <d v="2017-08-16T00:00:00Z"/>
        <d v="2017-08-21T00:00:00Z"/>
        <d v="2017-08-22T00:00:00Z"/>
        <d v="2017-08-23T00:00:00Z"/>
        <d v="2017-08-29T00:00:00Z"/>
        <d v="2017-08-30T00:00:00Z"/>
        <d v="2017-09-05T00:00:00Z"/>
        <d v="2017-09-06T00:00:00Z"/>
        <d v="2017-09-12T00:00:00Z"/>
        <d v="2017-09-13T00:00:00Z"/>
        <d v="2017-09-19T00:00:00Z"/>
        <d v="2017-09-20T00:00:00Z"/>
        <d v="2017-09-26T00:00:00Z"/>
        <d v="2017-09-27T00:00:00Z"/>
        <d v="2017-10-03T00:00:00Z"/>
        <d v="2017-10-04T00:00:00Z"/>
        <d v="2017-10-10T00:00:00Z"/>
        <d v="2017-10-11T00:00:00Z"/>
      </sharedItems>
    </cacheField>
    <cacheField name="Score" numFmtId="0">
      <sharedItems containsSemiMixedTypes="0" containsString="0" containsNumber="1">
        <n v="0.645676128527"/>
        <n v="0.823255142963"/>
        <n v="0.677127019086"/>
        <n v="0.285131295059"/>
        <n v="0.565976225884"/>
        <n v="0.695287891369"/>
        <n v="0.709316338721"/>
        <n v="0.725730297578"/>
        <n v="0.652758148405"/>
        <n v="0.663745777111"/>
        <n v="0.563947273823"/>
        <n v="0.65203162571"/>
        <n v="0.724354619953"/>
        <n v="0.480623244564"/>
        <n v="0.598742542651"/>
        <n v="0.648594391061"/>
        <n v="0.71176171976"/>
        <n v="0.570413130761"/>
        <n v="0.678226661127"/>
        <n v="0.273389503284"/>
        <n v="0.652242124703"/>
        <n v="0.77112057397"/>
        <n v="0.756969218085"/>
        <n v="0.679993755443"/>
        <n v="0.633916834342"/>
        <n v="0.843450788066"/>
        <n v="0.67377953551"/>
        <n v="0.698976931984"/>
        <n v="0.706815436031"/>
        <n v="0.69234263398"/>
        <n v="0.647674151799"/>
        <n v="0.478088540611"/>
        <n v="0.619513558902"/>
        <n v="0.67029316807"/>
        <n v="0.671284776356"/>
        <n v="0.810474556894"/>
        <n v="0.661798069344"/>
        <n v="0.666514280378"/>
        <n v="0.634333560684"/>
        <n v="0.531734035388"/>
        <n v="0.588312807867"/>
        <n v="0.738035735717"/>
        <n v="0.656326637193"/>
        <n v="0.793146563513"/>
        <n v="0.51508226842"/>
        <n v="0.562445516252"/>
        <n v="0.642085071468"/>
        <n v="0.631055712183"/>
        <n v="0.582824601359"/>
        <n v="0.617552791654"/>
        <n v="0.680456831863"/>
        <n v="0.587240516034"/>
        <n v="0.62458113332"/>
        <n v="0.725443945339"/>
        <n v="0.673505486574"/>
        <n v="0.678228123911"/>
        <n v="0.694673073966"/>
        <n v="0.669456796459"/>
        <n v="0.75059668102"/>
        <n v="0.814450575112"/>
        <n v="0.731367075626"/>
        <n v="0.583870386419"/>
        <n v="0.726483581879"/>
        <n v="0.737505729811"/>
        <n v="0.736928471682"/>
        <n v="0.593031517091"/>
        <n v="0.764242695704"/>
        <n v="0.247881947572"/>
        <n v="0.707412198504"/>
        <n v="0.738382786738"/>
        <n v="0.683627000011"/>
        <n v="0.766752777444"/>
        <n v="0.654967492668"/>
        <n v="0.694709903603"/>
        <n v="0.66153800376"/>
        <n v="0.847053339024"/>
        <n v="0.54929018822"/>
        <n v="0.554570664896"/>
        <n v="0.739921947257"/>
        <n v="0.705049601809"/>
        <n v="0.660515784873"/>
        <n v="0.814509561814"/>
        <n v="0.661805021054"/>
        <n v="0.740742382937"/>
        <n v="0.747843120522"/>
        <n v="0.569669716999"/>
        <n v="0.768797781172"/>
        <n v="0.705332339425"/>
        <n v="0.659797776758"/>
        <n v="0.644649776356"/>
        <n v="0.665259165565"/>
        <n v="0.779394351277"/>
        <n v="0.666546316441"/>
        <n v="0.811012717659"/>
        <n v="0.697828982894"/>
        <n v="0.514759886671"/>
        <n v="0.682403198913"/>
        <n v="0.85546371926"/>
        <n v="0.636771629043"/>
        <n v="0.755189517225"/>
        <n v="0.669745028385"/>
        <n v="0.791667498875"/>
        <n v="0.726786795705"/>
        <n v="0.652272275438"/>
        <n v="0.69530868089"/>
        <n v="0.683640066177"/>
        <n v="0.709211606372"/>
        <n v="0.712195286041"/>
        <n v="0.773525393399"/>
        <n v="0.773087084224"/>
        <n v="0.709275721566"/>
        <n v="0.727178814996"/>
        <n v="0.715397939679"/>
        <n v="0.855076293124"/>
        <n v="0.75411320112"/>
        <n v="0.584355469273"/>
        <n v="0.777708661843"/>
        <n v="0.498075040421"/>
        <n v="0.628439468794"/>
        <n v="0.659347981441"/>
        <n v="0.680040930359"/>
        <n v="0.859806294783"/>
        <n v="0.73719082042"/>
        <n v="0.752200930807"/>
        <n v="0.669682065815"/>
        <n v="0.633488286959"/>
        <n v="0.730319431495"/>
        <n v="0.658948435398"/>
        <n v="0.666565586163"/>
        <n v="0.80553309807"/>
        <n v="0.629516647112"/>
        <n v="0.680000032671"/>
        <n v="0.590081957399"/>
        <n v="0.711068877604"/>
        <n v="0.58241728614"/>
        <n v="0.719800284903"/>
        <n v="0.827963833562"/>
        <n v="0.682118413491"/>
        <n v="0.782405821789"/>
        <n v="0.68047898555"/>
        <n v="0.721536102738"/>
        <n v="0.842056897573"/>
        <n v="0.673392872796"/>
        <n v="0.793656633085"/>
        <n v="0.713065574722"/>
        <n v="0.414417197729"/>
        <n v="0.642834241196"/>
        <n v="0.655273901821"/>
        <n v="0.70221879378"/>
        <n v="0.798038924566"/>
        <n v="0.682956822552"/>
        <n v="0.593094050673"/>
        <n v="0.760284413703"/>
        <n v="0.64504106926"/>
        <n v="0.760827565335"/>
        <n v="0.510379846984"/>
        <n v="0.704657651086"/>
        <n v="0.840139079272"/>
        <n v="0.684462308348"/>
        <n v="0.6951511144"/>
        <n v="0.736594322054"/>
        <n v="0.802145824575"/>
        <n v="0.674829838372"/>
        <n v="0.906266185496"/>
        <n v="0.712827059934"/>
        <n v="0.835535185244"/>
        <n v="0.746559005019"/>
        <n v="0.573006989343"/>
        <n v="0.664348154638"/>
        <n v="0.751463733872"/>
        <n v="0.728650121032"/>
        <n v="0.675588165147"/>
        <n v="0.713618381754"/>
        <n v="0.753763319173"/>
        <n v="0.754153691415"/>
        <n v="0.695786354102"/>
        <n v="0.7319572614"/>
        <n v="0.529396750471"/>
        <n v="0.636130796007"/>
        <n v="0.752670530791"/>
        <n v="0.776663692743"/>
        <n v="0.670822618227"/>
        <n v="0.717222184828"/>
        <n v="0.671284174252"/>
        <n v="0.571327236874"/>
        <n v="0.812554261443"/>
        <n v="0.708894119965"/>
        <n v="0.704492913784"/>
        <n v="0.717336799945"/>
        <n v="0.675993191903"/>
        <n v="0.676149251256"/>
        <n v="0.74371490742"/>
        <n v="0.718323323937"/>
        <n v="0.690647998639"/>
        <n v="0.696425214439"/>
        <n v="0.680482996905"/>
        <n v="0.737755993564"/>
        <n v="0.701611590587"/>
        <n v="0.410511220959"/>
        <n v="0.713731013603"/>
        <n v="0.802728629771"/>
        <n v="0.744402614325"/>
        <n v="0.797890415829"/>
        <n v="0.696211242375"/>
        <n v="0.681224355924"/>
        <n v="0.686864841467"/>
        <n v="0.651622153032"/>
        <n v="0.64686533458"/>
        <n v="0.683081856469"/>
        <n v="0.762571517765"/>
        <n v="0.68458475839"/>
        <n v="0.676631546457"/>
        <n v="0.572538617469"/>
        <n v="0.724866443755"/>
        <n v="0.739918148688"/>
        <n v="0.674302541101"/>
        <n v="0.720910864166"/>
        <n v="0.562205462955"/>
        <n v="0.742729660576"/>
        <n v="0.809337559058"/>
        <n v="0.680725138573"/>
        <n v="0.766932339329"/>
        <n v="0.719138330275"/>
        <n v="0.467599555095"/>
        <n v="0.734372932318"/>
        <n v="0.700882908089"/>
        <n v="0.715146595461"/>
        <n v="0.719709258168"/>
        <n v="0.731212323632"/>
        <n v="0.769525395578"/>
        <n v="0.711640027282"/>
        <n v="0.65500053486"/>
        <n v="0.736373635834"/>
        <n v="0.664371428204"/>
        <n v="0.674643714668"/>
        <n v="0.803980184526"/>
        <n v="0.716463531043"/>
        <n v="0.665231319902"/>
        <n v="0.743154735139"/>
        <n v="0.761051608114"/>
        <n v="0.569589747146"/>
        <n v="0.700897385239"/>
        <n v="0.768318859608"/>
        <n v="0.69248237231"/>
        <n v="0.764615180559"/>
        <n v="0.767730743262"/>
        <n v="0.747879212435"/>
        <n v="0.674803476166"/>
        <n v="0.747795325575"/>
        <n v="0.675164223089"/>
        <n v="0.739779790259"/>
        <n v="0.786394323109"/>
        <n v="0.744605125551"/>
        <n v="0.702743192714"/>
        <n v="0.650479314863"/>
        <n v="0.756272946322"/>
        <n v="0.678637380286"/>
        <n v="0.78177328744"/>
        <n v="0.665417779479"/>
        <n v="0.808784079273"/>
        <n v="0.68118460496"/>
        <n v="0.550769262809"/>
        <n v="0.718834592673"/>
        <n v="0.687719541761"/>
        <n v="0.801328359188"/>
        <n v="0.713518205769"/>
        <n v="0.663768094667"/>
        <n v="0.687267026954"/>
        <n v="0.718969064441"/>
        <n v="0.720593143458"/>
        <n v="0.700351739685"/>
        <n v="0.634135776619"/>
        <n v="0.760586251221"/>
        <n v="0.542320575071"/>
        <n v="0.638655663215"/>
        <n v="0.725459754158"/>
        <n v="0.748137352087"/>
        <n v="0.622599336151"/>
        <n v="0.722459856632"/>
        <n v="0.624683416247"/>
        <n v="0.722301598091"/>
        <n v="0.699990908025"/>
        <n v="0.71029767365"/>
        <n v="0.703053995406"/>
        <n v="0.731380673152"/>
        <n v="0.754849594479"/>
        <n v="0.751947021006"/>
        <n v="0.786880567405"/>
        <n v="0.68564091647"/>
        <n v="0.739933337723"/>
        <n v="0.746611797141"/>
        <n v="0.726604126328"/>
        <n v="0.733388512488"/>
        <n v="0.530152871806"/>
        <n v="0.720542905122"/>
        <n v="0.685481428259"/>
        <n v="0.622105221293"/>
        <n v="0.808370032577"/>
        <n v="0.752881612188"/>
        <n v="0.733935033178"/>
        <n v="0.66057618496"/>
        <n v="0.163672083176"/>
        <n v="0.699259310663"/>
        <n v="0.878738003109"/>
        <n v="0.662981091929"/>
        <n v="0.785530549574"/>
        <n v="0.710313820445"/>
        <n v="0.656216621257"/>
        <n v="0.777587082766"/>
        <n v="0.814396350963"/>
        <n v="0.751528139942"/>
        <n v="0.738484855091"/>
        <n v="0.722450990529"/>
        <n v="0.789548843503"/>
        <n v="0.702703158637"/>
        <n v="0.76294746038"/>
        <n v="0.700213409026"/>
        <n v="0.84167585273"/>
        <n v="0.752965219458"/>
        <n v="0.335344356989"/>
        <n v="0.704440928829"/>
        <n v="0.753386077486"/>
        <n v="0.744902311593"/>
        <n v="0.701365340584"/>
        <n v="0.765509907407"/>
        <n v="0.77356840297"/>
        <n v="0.741946564221"/>
        <n v="0.652149461502"/>
        <n v="0.733275771472"/>
        <n v="0.627161263764"/>
        <n v="0.622208648921"/>
        <n v="0.744174905789"/>
        <n v="0.725397058528"/>
        <n v="0.565667964062"/>
        <n v="0.73531402555"/>
        <n v="0.776377011591"/>
        <n v="0.702634959886"/>
        <n v="0.667782927117"/>
        <n v="0.724335870183"/>
        <n v="0.657737068456"/>
        <n v="0.679220100201"/>
        <n v="0.698353884845"/>
        <n v="0.762426040426"/>
        <n v="0.79231817435"/>
        <n v="0.651709231357"/>
        <n v="0.728559547833"/>
        <n v="0.742221280205"/>
        <n v="0.782057072912"/>
        <n v="0.721757871916"/>
        <n v="0.795949399369"/>
        <n v="0.755347276141"/>
        <n v="0.735749244731"/>
        <n v="0.715527049042"/>
        <n v="0.691827403923"/>
        <n v="0.852561997306"/>
        <n v="0.622285927123"/>
        <n v="0.586337997171"/>
        <n v="0.707411420087"/>
        <n v="0.675017011533"/>
        <n v="0.701000968037"/>
        <n v="0.895452437429"/>
        <n v="0.74225775406"/>
        <n v="0.790542720892"/>
        <n v="0.763523775675"/>
        <n v="0.70462933587"/>
        <n v="0.755291776065"/>
        <n v="0.725598471409"/>
        <n v="0.715586701489"/>
        <n v="0.734860100414"/>
        <n v="0.827895745248"/>
        <n v="0.722816112949"/>
        <n v="0.607543201967"/>
        <n v="0.736070232242"/>
        <n v="0.766236698875"/>
        <n v="0.678840852798"/>
        <n v="0.688138272552"/>
        <n v="0.756312006577"/>
        <n v="0.743827474786"/>
        <n v="0.672346288999"/>
        <n v="0.657089512734"/>
        <n v="0.730495117368"/>
        <n v="0.683223559472"/>
        <n v="0.566101823921"/>
        <n v="0.709722119734"/>
        <n v="0.74054915786"/>
        <n v="0.760737540514"/>
        <n v="0.645815310403"/>
        <n v="0.635300213454"/>
        <n v="0.665843479932"/>
        <n v="0.69917653862"/>
        <n v="0.70003415742"/>
        <n v="0.866196906138"/>
        <n v="0.685650131721"/>
        <n v="0.699375061386"/>
        <n v="0.571057322525"/>
        <n v="0.808113845761"/>
        <n v="0.777400343215"/>
        <n v="0.682090944839"/>
        <n v="0.672133048024"/>
        <n v="0.758161167241"/>
        <n v="0.790634342013"/>
        <n v="0.737083904752"/>
        <n v="0.766794758496"/>
        <n v="0.756727500961"/>
        <n v="0.816430208761"/>
        <n v="0.706847747075"/>
        <n v="0.83237737537"/>
        <n v="0.687689955245"/>
        <n v="0.708379194547"/>
        <n v="0.592006538939"/>
        <n v="0.716187349713"/>
        <n v="0.716879323779"/>
        <n v="0.739001216727"/>
        <n v="0.577436851355"/>
        <n v="0.740630765442"/>
        <n v="0.659050921704"/>
        <n v="0.784180902571"/>
        <n v="0.825497078223"/>
        <n v="0.730622569661"/>
        <n v="0.732255646595"/>
        <n v="0.741301723729"/>
        <n v="0.662359235156"/>
        <n v="0.592106711923"/>
        <n v="0.759978917309"/>
        <n v="0.718722655395"/>
        <n v="0.69596412127"/>
        <n v="0.735807276968"/>
        <n v="0.685476333958"/>
        <n v="0.541557526972"/>
        <n v="0.687637807507"/>
        <n v="0.659712247605"/>
        <n v="0.837868827462"/>
        <n v="0.709610903636"/>
        <n v="0.674415114906"/>
        <n v="0.692538970753"/>
        <n v="0.726997329511"/>
        <n v="0.720182830753"/>
        <n v="0.768491616754"/>
        <n v="0.666912522715"/>
        <n v="0.743845985586"/>
        <n v="0.680032971043"/>
        <n v="0.747258642895"/>
        <n v="0.730674941174"/>
        <n v="0.562039791703"/>
        <n v="0.749694826261"/>
        <n v="0.801906381201"/>
        <n v="0.676585890554"/>
        <n v="0.668591311114"/>
        <n v="0.688358267892"/>
        <n v="0.797038830235"/>
        <n v="0.698760395371"/>
        <n v="0.683467293494"/>
        <n v="0.717922601091"/>
        <n v="0.79822601813"/>
        <n v="0.743212332184"/>
        <n v="0.728447752292"/>
        <n v="0.646832048072"/>
        <n v="0.764921432235"/>
        <n v="0.694678371713"/>
        <n v="0.759500458863"/>
        <n v="0.722585769447"/>
        <n v="0.805601157021"/>
        <n v="0.70132456507"/>
        <n v="0.535819157136"/>
        <n v="0.699884544494"/>
        <n v="0.699680204317"/>
        <n v="0.64500714511"/>
        <n v="0.632863712539"/>
        <n v="0.698334949698"/>
        <n v="0.546038223836"/>
        <n v="0.784288627001"/>
        <n v="0.643734797116"/>
        <n v="0.718115939627"/>
        <n v="0.734750992237"/>
        <n v="0.742788622605"/>
        <n v="0.797786450881"/>
        <n v="0.690518656966"/>
        <n v="0.681203537762"/>
        <n v="0.651935749443"/>
        <n v="0.724745220626"/>
        <n v="0.699462709505"/>
        <n v="0.561065826903"/>
        <n v="0.714466468349"/>
        <n v="0.728052807503"/>
        <n v="0.781273221442"/>
        <n v="0.665864803648"/>
        <n v="0.793195140193"/>
        <n v="0.694295468295"/>
        <n v="0.723828974318"/>
        <n v="0.707095321493"/>
        <n v="0.658477515123"/>
        <n v="0.730001288533"/>
        <n v="0.752934915052"/>
        <n v="0.73165033426"/>
        <n v="0.725139944341"/>
        <n v="0.712050055319"/>
        <n v="0.725255110596"/>
        <n v="0.747165629189"/>
        <n v="0.747684360552"/>
        <n v="0.643178757059"/>
        <n v="0.746032885914"/>
        <n v="0.689422454222"/>
        <n v="0.724379237706"/>
        <n v="0.703191750155"/>
        <n v="0.756043145015"/>
        <n v="0.719389274918"/>
        <n v="0.612116282145"/>
        <n v="0.728323665295"/>
        <n v="0.725923590046"/>
        <n v="0.663033657181"/>
        <n v="0.708006169518"/>
        <n v="0.681734492938"/>
        <n v="0.468165061361"/>
        <n v="0.755065357309"/>
        <n v="0.659398517626"/>
        <n v="0.665306397601"/>
        <n v="0.78623061552"/>
        <n v="0.718846411202"/>
        <n v="0.730639315743"/>
        <n v="0.669268358735"/>
        <n v="0.751902220404"/>
        <n v="0.715089574497"/>
        <n v="0.640367434655"/>
        <n v="0.743173132855"/>
        <n v="0.76960207605"/>
        <n v="0.619322053749"/>
        <n v="0.690211896217"/>
        <n v="0.838807340413"/>
        <n v="0.736972671105"/>
        <n v="0.741215755905"/>
        <n v="0.710232977919"/>
        <n v="0.63748967149"/>
        <n v="0.726794801942"/>
        <n v="0.74046358051"/>
        <n v="0.642113286724"/>
        <n v="0.746959064558"/>
        <n v="0.662355839249"/>
        <n v="0.652316578198"/>
        <n v="0.698084609672"/>
        <n v="0.651875172243"/>
        <n v="0.67599642167"/>
        <n v="0.671294072041"/>
        <n v="0.679124999541"/>
        <n v="0.691607390412"/>
        <n v="0.698356287949"/>
        <n v="0.767545137671"/>
        <n v="0.710807126341"/>
        <n v="0.735718767938"/>
        <n v="0.690701355913"/>
        <n v="0.682270215316"/>
        <n v="0.660009715148"/>
        <n v="0.629910307463"/>
        <n v="0.719578502718"/>
        <n v="0.784579383121"/>
        <n v="0.695433032531"/>
        <n v="0.791882002708"/>
        <n v="0.635106201752"/>
        <n v="0.661455744887"/>
        <n v="0.707261038046"/>
        <n v="0.70366402532"/>
        <n v="0.691405559005"/>
        <n v="0.733782145621"/>
        <n v="0.722559978302"/>
        <n v="0.787548927421"/>
        <n v="0.701457477074"/>
        <n v="0.74504992641"/>
        <n v="0.692616311201"/>
        <n v="0.69717937603"/>
        <n v="0.725575923904"/>
        <n v="0.735908705989"/>
        <n v="0.669861499633"/>
        <n v="0.60689389207"/>
        <n v="0.693331066339"/>
        <n v="0.676396745542"/>
        <n v="0.664256203605"/>
        <n v="0.675503411982"/>
        <n v="0.700603792422"/>
        <n v="0.630062567794"/>
        <n v="0.709562397366"/>
        <n v="0.665249594928"/>
        <n v="0.684642639381"/>
        <n v="0.646164225377"/>
        <n v="0.727246092761"/>
        <n v="0.727596193415"/>
        <n v="0.711716685714"/>
        <n v="0.694107536648"/>
        <n v="0.763356990852"/>
        <n v="0.79332013242"/>
        <n v="0.697115238554"/>
        <n v="0.678777973712"/>
        <n v="0.739957837788"/>
        <n v="0.640617039255"/>
        <n v="0.703500052338"/>
        <n v="0.873532002785"/>
        <n v="0.743084820488"/>
        <n v="0.694670805526"/>
        <n v="0.688301692219"/>
        <n v="0.656622793407"/>
        <n v="0.705593036598"/>
        <n v="0.613640648359"/>
        <n v="0.653075870552"/>
        <n v="0.602738367829"/>
        <n v="0.700690389715"/>
        <n v="0.761730501424"/>
        <n v="0.720309642888"/>
        <n v="0.692900391206"/>
        <n v="0.706749488932"/>
        <n v="0.676873614408"/>
        <n v="0.699001051254"/>
        <n v="0.603173077567"/>
        <n v="0.682903774987"/>
        <n v="0.768319818111"/>
        <n v="0.741133684972"/>
        <n v="0.810117616265"/>
        <n v="0.710916414252"/>
        <n v="0.76781177888"/>
        <n v="0.64621431418"/>
        <n v="0.80916738024"/>
        <n v="0.705898565095"/>
        <n v="0.780976224614"/>
        <n v="0.701923449829"/>
        <n v="0.815332590749"/>
        <n v="0.686161417702"/>
        <n v="0.621026486258"/>
        <n v="0.716512425356"/>
        <n v="0.677665803961"/>
        <n v="0.639355346124"/>
        <n v="0.649571713255"/>
        <n v="0.635094852387"/>
        <n v="0.686592577963"/>
        <n v="0.858704039453"/>
        <n v="0.689070269661"/>
        <n v="0.724045816013"/>
        <n v="0.7026296293"/>
        <n v="0.72871676584"/>
        <n v="0.724114366056"/>
        <n v="0.706294918275"/>
        <n v="0.654886138294"/>
        <n v="0.723152251453"/>
        <n v="0.681464720308"/>
        <n v="0.683575494638"/>
        <n v="0.719566878485"/>
        <n v="0.665903683712"/>
        <n v="0.679943747585"/>
        <n v="0.636106360373"/>
        <n v="0.721751724888"/>
        <n v="0.693730407536"/>
        <n v="0.728444463037"/>
        <n v="0.630849403014"/>
        <n v="0.673614465274"/>
        <n v="0.790227344826"/>
        <n v="0.72106111127"/>
        <n v="0.731420433122"/>
        <n v="0.692855474346"/>
        <n v="0.715999661378"/>
        <n v="0.683301173291"/>
        <n v="0.682106098618"/>
        <n v="0.67818611699"/>
        <n v="0.70719569886"/>
        <n v="0.717101692602"/>
        <n v="0.665249804732"/>
        <n v="0.723336895781"/>
        <n v="0.735985427315"/>
        <n v="0.711487261153"/>
        <n v="0.633699069988"/>
        <n v="0.683441768975"/>
        <n v="0.714968460519"/>
        <n v="0.634834262369"/>
        <n v="0.588217658216"/>
        <n v="0.721452536301"/>
        <n v="0.594134175329"/>
        <n v="0.711938890368"/>
        <n v="0.655537354553"/>
        <n v="0.714890074668"/>
        <n v="0.679678122109"/>
        <n v="0.686539390762"/>
        <n v="0.735388766875"/>
        <n v="0.705370436455"/>
        <n v="0.787755246121"/>
        <n v="0.690064699039"/>
        <n v="0.619171785236"/>
        <n v="0.68342074531"/>
        <n v="0.765565672123"/>
        <n v="0.671063372961"/>
        <n v="0.797977391546"/>
        <n v="0.739335494605"/>
        <n v="0.470045997297"/>
        <n v="0.728731365597"/>
        <n v="0.752173756757"/>
        <n v="0.66857000944"/>
        <n v="0.713491222705"/>
        <n v="0.669760062515"/>
        <n v="0.704017347476"/>
        <n v="0.600788840508"/>
        <n v="0.724312149506"/>
        <n v="0.739727221338"/>
        <n v="0.66860960849"/>
        <n v="0.498528013158"/>
        <n v="0.758520502377"/>
        <n v="0.619808305486"/>
        <n v="0.740830583195"/>
        <n v="0.427953004718"/>
        <n v="0.609747571326"/>
        <n v="0.74442620176"/>
        <n v="0.688952050175"/>
        <n v="0.698575435132"/>
        <n v="0.587353016915"/>
        <n v="0.678658869157"/>
        <n v="0.704066823089"/>
        <n v="0.680543960048"/>
        <n v="0.80797040885"/>
        <n v="0.748053890649"/>
        <n v="0.696635404106"/>
        <n v="0.762670035273"/>
        <n v="0.606040707006"/>
        <n v="0.547930429001"/>
        <n v="0.69637358074"/>
        <n v="0.703190324751"/>
        <n v="0.710133686317"/>
        <n v="0.638862455954"/>
        <n v="0.671786919688"/>
        <n v="0.428524976815"/>
        <n v="0.692288954502"/>
        <n v="0.731257708316"/>
        <n v="0.666083567269"/>
        <n v="0.554583007187"/>
        <n v="0.713498143133"/>
        <n v="0.737136310724"/>
        <n v="0.694626346266"/>
        <n v="0.761327396511"/>
        <n v="0.705967129519"/>
        <n v="0.719163402576"/>
        <n v="0.737540893468"/>
        <n v="0.728778691056"/>
        <n v="0.64548907522"/>
        <n v="0.713962692904"/>
        <n v="0.646326459148"/>
        <n v="0.699975432969"/>
        <n v="0.69641848523"/>
        <n v="0.692636652654"/>
        <n v="0.762800281655"/>
        <n v="0.730422685759"/>
        <n v="0.631734893801"/>
        <n v="0.684841521743"/>
        <n v="0.71019034843"/>
        <n v="0.76081879607"/>
        <n v="0.741687446306"/>
        <n v="0.726649070458"/>
        <n v="0.715602714069"/>
        <n v="0.699642136059"/>
        <n v="0.685611878623"/>
        <n v="0.717756554765"/>
        <n v="0.744195897178"/>
        <n v="0.762110768731"/>
        <n v="0.662793380908"/>
        <n v="0.761364464358"/>
        <n v="0.712637622755"/>
        <n v="0.697669623268"/>
        <n v="0.743083620847"/>
        <n v="0.789226386009"/>
        <n v="0.737245538233"/>
        <n v="0.730440064192"/>
        <n v="0.653786202111"/>
        <n v="0.546125916389"/>
        <n v="0.676615110215"/>
        <n v="0.696537281941"/>
        <n v="0.738235289933"/>
        <n v="0.61900211285"/>
        <n v="0.597095379167"/>
        <n v="0.695643582247"/>
        <n v="0.69426599118"/>
        <n v="0.632792685985"/>
        <n v="0.730692874403"/>
        <n v="0.672591210846"/>
        <n v="0.689664099926"/>
        <n v="0.732464201666"/>
        <n v="0.733249836156"/>
        <n v="0.681890064433"/>
        <n v="0.727465048104"/>
        <n v="0.686777891942"/>
        <n v="0.708046884306"/>
        <n v="0.728046010797"/>
        <n v="0.767706207055"/>
        <n v="0.59935271504"/>
        <n v="0.671378671021"/>
        <n v="0.695396954827"/>
        <n v="0.704189174299"/>
        <n v="0.622709181854"/>
        <n v="0.703090590513"/>
        <n v="0.796463024516"/>
        <n v="0.676769065277"/>
        <n v="0.792172260245"/>
        <n v="0.699237147185"/>
        <n v="0.655653576076"/>
        <n v="0.60800005509"/>
        <n v="0.785141126814"/>
        <n v="0.744875350059"/>
        <n v="0.73691510465"/>
        <n v="0.668343353905"/>
        <n v="0.722190922606"/>
        <n v="0.728561044006"/>
        <n v="0.773332791062"/>
        <n v="0.751736050505"/>
        <n v="0.691015930754"/>
        <n v="0.761531969585"/>
        <n v="0.733389550345"/>
        <n v="0.940566192339"/>
        <n v="0.684231508147"/>
        <n v="0.751579734089"/>
        <n v="0.708917961881"/>
        <n v="0.716121076125"/>
        <n v="0.70030609856"/>
        <n v="0.771093786629"/>
        <n v="0.81107967344"/>
        <n v="0.766016590779"/>
        <n v="0.730635068632"/>
        <n v="0.699158943505"/>
        <n v="0.77098875095"/>
        <n v="0.673353605587"/>
        <n v="0.403649654705"/>
        <n v="0.708498356591"/>
        <n v="0.714763788062"/>
        <n v="0.724113591346"/>
        <n v="0.64587435161"/>
        <n v="0.740747975517"/>
        <n v="0.691846217726"/>
        <n v="0.72571503331"/>
        <n v="0.779240122284"/>
        <n v="0.719274111497"/>
        <n v="0.793249058948"/>
        <n v="0.794644930106"/>
        <n v="0.855466561663"/>
        <n v="0.681089062588"/>
        <n v="0.478340614965"/>
        <n v="0.751602962782"/>
        <n v="0.654447838629"/>
        <n v="0.680514204093"/>
        <n v="0.68419679166"/>
        <n v="0.723374500504"/>
        <n v="0.734053323349"/>
        <n v="0.71215041907"/>
        <n v="0.727172344089"/>
        <n v="0.739413845014"/>
        <n v="0.701286432048"/>
        <n v="0.756949891686"/>
        <n v="0.772904622486"/>
        <n v="0.701087913939"/>
        <n v="0.782068804234"/>
        <n v="0.763067302785"/>
        <n v="0.788753841046"/>
        <n v="0.739689191738"/>
        <n v="0.780715673247"/>
        <n v="0.744124076021"/>
        <n v="0.754383727653"/>
        <n v="0.692661611196"/>
        <n v="0.833083013365"/>
        <n v="0.760974294997"/>
        <n v="0.864465441505"/>
        <n v="0.77375767901"/>
        <n v="0.778076087465"/>
        <n v="0.764756438015"/>
        <n v="0.60115982443"/>
        <n v="0.696130326652"/>
        <n v="0.72074323747"/>
        <n v="0.746592490964"/>
        <n v="0.758651609108"/>
        <n v="0.743933569659"/>
        <n v="0.429901934184"/>
        <n v="0.678369287961"/>
        <n v="0.612381314627"/>
        <n v="0.696802560488"/>
        <n v="0.634468672244"/>
        <n v="0.728383026233"/>
        <n v="0.75391976405"/>
        <n v="0.715009988788"/>
        <n v="0.677672623097"/>
        <n v="0.719257914861"/>
        <n v="0.711349432587"/>
        <n v="0.659266146126"/>
        <n v="0.764261940837"/>
        <n v="0.796837765675"/>
        <n v="0.777929019421"/>
        <n v="0.679327283353"/>
        <n v="0.691239815435"/>
        <n v="0.756956104781"/>
        <n v="0.723736303934"/>
        <n v="0.816187880566"/>
        <n v="0.735790969174"/>
        <n v="0.769642011744"/>
        <n v="0.685081401017"/>
        <n v="0.662857845113"/>
        <n v="0.721962121491"/>
        <n v="0.704560201592"/>
        <n v="0.716005773508"/>
        <n v="0.701919464936"/>
      </sharedItems>
    </cacheField>
    <cacheField name="Release Dates" numFmtId="167">
      <sharedItems containsDate="1" containsString="0" containsBlank="1">
        <d v="2008-12-26T00:00:00Z"/>
        <d v="2009-01-17T00:00:00Z"/>
        <d v="2009-03-20T00:00:00Z"/>
        <d v="2009-05-05T00:00:00Z"/>
        <d v="2009-12-09T00:00:00Z"/>
        <d v="2010-01-30T00:00:00Z"/>
        <d v="2010-04-23T00:00:00Z"/>
        <d v="2010-08-22T00:00:00Z"/>
        <d v="2010-11-14T00:00:00Z"/>
        <d v="2011-03-20T00:00:00Z"/>
        <d v="2011-09-18T00:00:00Z"/>
        <d v="2013-04-29T00:00:00Z"/>
        <d v="2010-03-01T00:00:00Z"/>
        <d v="2010-03-14T00:00:00Z"/>
        <d v="2010-03-28T00:00:00Z"/>
        <d v="2010-04-13T00:00:00Z"/>
        <d v="2010-01-17T00:00:00Z"/>
        <d v="2010-04-25T00:00:00Z"/>
        <d v="2010-05-29T00:00:00Z"/>
        <d v="2010-06-06T00:00:00Z"/>
        <d v="2010-07-19T00:00:00Z"/>
        <d v="2010-09-12T00:00:00Z"/>
        <d v="2010-10-24T00:00:00Z"/>
        <d v="2011-01-20T00:00:00Z"/>
        <d v="2011-05-21T00:00:00Z"/>
        <d v="2011-05-30T00:00:00Z"/>
        <d v="2011-07-26T00:00:00Z"/>
        <d v="2011-10-15T00:00:00Z"/>
        <d v="2011-12-29T00:00:00Z"/>
        <d v="2012-03-26T00:00:00Z"/>
        <d v="2013-06-25T00:00:00Z"/>
        <d v="2014-04-29T00:00:00Z"/>
        <d v="2014-06-15T00:00:00Z"/>
        <d v="2014-07-21T00:00:00Z"/>
        <d v="2015-10-31T00:00:00Z"/>
        <d v="2011-09-04T00:00:00Z"/>
        <d v="2011-10-03T00:00:00Z"/>
        <d v="2010-12-27T00:00:00Z"/>
        <d v="2011-10-16T00:00:00Z"/>
        <d v="2011-10-31T00:00:00Z"/>
        <d v="2011-11-03T00:00:00Z"/>
        <d v="2011-11-14T00:00:00Z"/>
        <d v="2011-11-28T00:00:00Z"/>
        <d v="2012-02-06T00:00:00Z"/>
        <d v="2012-02-20T00:00:00Z"/>
        <d v="2012-01-09T00:00:00Z"/>
        <d v="2012-01-23T00:00:00Z"/>
        <d v="2012-03-05T00:00:00Z"/>
        <d v="2012-04-30T00:00:00Z"/>
        <d v="2012-05-23T00:00:00Z"/>
        <d v="2012-07-01T00:00:00Z"/>
        <d v="2012-07-14T00:00:00Z"/>
        <d v="2012-06-20T00:00:00Z"/>
        <d v="2012-09-01T00:00:00Z"/>
        <d v="2012-10-09T00:00:00Z"/>
        <d v="2012-12-02T00:00:00Z"/>
        <d v="2013-01-09T00:00:00Z"/>
        <d v="2013-01-28T00:00:00Z"/>
        <d v="2013-02-02T00:00:00Z"/>
        <d v="2013-04-28T00:00:00Z"/>
        <d v="2013-07-18T00:00:00Z"/>
        <d v="2012-10-28T00:00:00Z"/>
        <d v="2013-03-03T00:00:00Z"/>
        <d v="2013-04-07T00:00:00Z"/>
        <d v="2013-04-24T00:00:00Z"/>
        <d v="2013-05-11T00:00:00Z"/>
        <d v="2013-06-10T00:00:00Z"/>
        <d v="2013-07-05T00:00:00Z"/>
        <d v="2013-08-11T00:00:00Z"/>
        <d v="2013-08-30T00:00:00Z"/>
        <d v="2013-08-19T00:00:00Z"/>
        <d v="2013-09-15T00:00:00Z"/>
        <d v="2013-10-23T00:00:00Z"/>
        <d v="2013-11-25T00:00:00Z"/>
        <d v="2013-12-24T00:00:00Z"/>
        <d v="2014-01-26T00:00:00Z"/>
        <d v="2014-03-02T00:00:00Z"/>
        <d v="2014-04-05T00:00:00Z"/>
        <d v="2014-04-30T00:00:00Z"/>
        <d v="2014-05-18T00:00:00Z"/>
        <d v="2014-04-11T00:00:00Z"/>
        <d v="2014-04-27T00:00:00Z"/>
        <d v="2014-03-26T00:00:00Z"/>
        <d v="2014-05-13T00:00:00Z"/>
        <d v="2014-09-02T00:00:00Z"/>
        <d v="2014-10-05T00:00:00Z"/>
        <d v="2014-11-08T00:00:00Z"/>
        <d v="2014-12-09T00:00:00Z"/>
        <d v="2014-12-23T00:00:00Z"/>
        <d v="2015-08-07T00:00:00Z"/>
        <d v="2015-01-16T00:00:00Z"/>
        <d v="2015-02-19T00:00:00Z"/>
        <d v="2015-03-16T00:00:00Z"/>
        <d v="2015-04-20T00:00:00Z"/>
        <d v="2015-05-25T00:00:00Z"/>
        <d v="2015-05-28T00:00:00Z"/>
        <d v="2015-06-30T00:00:00Z"/>
        <d v="2015-07-16T00:00:00Z"/>
        <d v="2015-07-23T00:00:00Z"/>
        <d v="2015-11-06T00:00:00Z"/>
        <d v="2016-03-14T00:00:00Z"/>
        <d v="2015-06-15T00:00:00Z"/>
        <d v="2015-07-12T00:00:00Z"/>
        <d v="2015-07-24T00:00:00Z"/>
        <d v="2015-08-24T00:00:00Z"/>
        <d v="2015-09-29T00:00:00Z"/>
        <d v="2015-10-02T00:00:00Z"/>
        <d v="2015-11-23T00:00:00Z"/>
        <d v="2015-12-21T00:00:00Z"/>
        <d v="2016-01-25T00:00:00Z"/>
        <d v="2016-02-06T00:00:00Z"/>
        <d v="2016-01-13T00:00:00Z"/>
        <d v="2016-02-07T00:00:00Z"/>
        <d v="2016-02-28T00:00:00Z"/>
        <d v="2016-03-29T00:00:00Z"/>
        <d v="2016-05-03T00:00:00Z"/>
        <d v="2016-06-13T00:00:00Z"/>
        <d v="2016-08-03T00:00:00Z"/>
        <d v="2016-09-10T00:00:00Z"/>
        <d v="2016-09-15T00:00:00Z"/>
        <d v="2016-09-19T00:00:00Z"/>
        <d v="2016-09-06T00:00:00Z"/>
        <d v="2016-10-11T00:00:00Z"/>
        <d v="2016-11-08T00:00:00Z"/>
        <d v="2016-11-28T00:00:00Z"/>
        <d v="2016-12-23T00:00:00Z"/>
        <d v="2017-01-24T00:00:00Z"/>
        <d v="2017-03-01T00:00:00Z"/>
        <d v="2017-04-02T00:00:00Z"/>
        <d v="2017-04-22T00:00:00Z"/>
        <d v="2017-05-26T00:00:00Z"/>
        <d v="2017-06-27T00:00:00Z"/>
        <d v="2017-07-22T00:00:00Z"/>
        <d v="2017-08-08T00:00:00Z"/>
        <d v="2017-08-30T00:00:00Z"/>
        <d v="2017-09-18T00:00:00Z"/>
        <d v="2017-10-19T00:00:00Z"/>
        <d v="2015-01-02T00:00:00Z"/>
        <d v="2015-02-09T00:00:00Z"/>
        <d v="2014-06-25T00:00:00Z"/>
        <d v="2014-07-28T00:00:00Z"/>
        <d v="2014-08-23T00:00:00Z"/>
        <d v="2014-09-28T00:00:00Z"/>
        <d v="2014-11-17T00:00:00Z"/>
        <d v="2014-01-05T00:00:00Z"/>
        <d v="2014-03-12T00:00:00Z"/>
        <d v="2014-05-06T00:00:00Z"/>
        <d v="2015-03-22T00:00:00Z"/>
        <d v="2015-04-05T00:00:00Z"/>
        <d v="2015-05-03T00:00:00Z"/>
        <d v="2015-05-08T00:00:00Z"/>
        <d v="2015-05-18T00:00:00Z"/>
        <d v="2015-06-28T00:00:00Z"/>
        <d v="2015-07-17T00:00:00Z"/>
        <d v="2015-07-21T00:00:00Z"/>
        <d v="2015-08-06T00:00:00Z"/>
        <d v="2015-08-22T00:00:00Z"/>
        <d v="2015-09-07T00:00:00Z"/>
        <d v="2015-09-22T00:00:00Z"/>
        <d v="2016-02-21T00:00:00Z"/>
        <d v="2016-11-26T00:00:00Z"/>
        <d v="2015-08-30T00:00:00Z"/>
        <d v="2015-08-01T00:00:00Z"/>
        <d v="2015-09-20T00:00:00Z"/>
        <d v="2015-10-07T00:00:00Z"/>
        <d v="2015-10-19T00:00:00Z"/>
        <d v="2015-10-25T00:00:00Z"/>
        <d v="2015-11-30T00:00:00Z"/>
        <d v="2015-12-23T00:00:00Z"/>
        <d v="2016-01-09T00:00:00Z"/>
        <d v="2016-01-24T00:00:00Z"/>
        <d v="2016-01-30T00:00:00Z"/>
        <d v="2016-01-31T00:00:00Z"/>
        <d v="2016-01-03T00:00:00Z"/>
        <d v="2016-02-12T00:00:00Z"/>
        <d v="2016-03-07T00:00:00Z"/>
        <d v="2016-04-11T00:00:00Z"/>
        <d v="2016-04-25T00:00:00Z"/>
        <d v="2016-05-17T00:00:00Z"/>
        <d v="2016-05-26T00:00:00Z"/>
        <d v="2016-06-21T00:00:00Z"/>
        <d v="2016-07-09T00:00:00Z"/>
        <d v="2016-08-02T00:00:00Z"/>
        <d v="2016-08-13T00:00:00Z"/>
        <d v="2016-08-06T00:00:00Z"/>
        <d v="2016-07-10T00:00:00Z"/>
        <d v="2016-07-17T00:00:00Z"/>
        <d v="2016-07-27T00:00:00Z"/>
        <d v="2016-08-20T00:00:00Z"/>
        <d v="2016-08-22T00:00:00Z"/>
        <d v="2016-09-03T00:00:00Z"/>
        <d v="2016-09-25T00:00:00Z"/>
        <d v="2016-09-30T00:00:00Z"/>
        <d v="2016-10-15T00:00:00Z"/>
        <d v="2016-10-29T00:00:00Z"/>
        <d v="2016-11-07T00:00:00Z"/>
        <d v="2016-11-22T00:00:00Z"/>
        <d v="2016-12-12T00:00:00Z"/>
        <d v="2016-12-27T00:00:00Z"/>
        <d v="2017-01-14T00:00:00Z"/>
        <d v="2017-01-29T00:00:00Z"/>
        <d v="2017-02-06T00:00:00Z"/>
        <d v="2017-02-13T00:00:00Z"/>
        <d v="2017-04-07T00:00:00Z"/>
        <d v="2017-01-18T00:00:00Z"/>
        <d v="2017-01-23T00:00:00Z"/>
        <d v="2017-02-05T00:00:00Z"/>
        <d v="2016-12-31T00:00:00Z"/>
        <d v="2017-01-01T00:00:00Z"/>
        <d v="2017-01-02T00:00:00Z"/>
        <d v="2017-01-08T00:00:00Z"/>
        <d v="2017-02-18T00:00:00Z"/>
        <d v="2017-02-23T00:00:00Z"/>
        <d v="2017-03-10T00:00:00Z"/>
        <d v="2017-03-29T00:00:00Z"/>
        <d v="2017-05-03T00:00:00Z"/>
        <d v="2017-05-20T00:00:00Z"/>
        <d v="2017-06-20T00:00:00Z"/>
        <d v="2017-06-26T00:00:00Z"/>
        <d v="2017-07-10T00:00:00Z"/>
        <d v="2017-07-19T00:00:00Z"/>
        <d v="2017-08-02T00:00:00Z"/>
        <d v="2017-08-17T00:00:00Z"/>
        <d v="2017-07-27T00:00:00Z"/>
        <d v="2017-08-12T00:00:00Z"/>
        <d v="2017-08-19T00:00:00Z"/>
        <d v="2017-08-29T00:00:00Z"/>
        <d v="2017-09-12T00:00:00Z"/>
        <d v="2017-09-27T00:00:00Z"/>
        <d v="2017-10-16T00:00:00Z"/>
        <m/>
      </sharedItems>
    </cacheField>
    <cacheField name="Pivot dates" numFmtId="0">
      <sharedItems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</sharedItems>
    </cacheField>
    <cacheField name="Pivot release dates" numFmtId="0">
      <sharedItems containsBlank="1">
        <s v="2008-12"/>
        <s v="2009-01"/>
        <s v="2009-03"/>
        <s v="2009-05"/>
        <s v="2009-12"/>
        <s v="2010-01"/>
        <s v="2010-04"/>
        <s v="2010-08"/>
        <s v="2010-11"/>
        <s v="2011-03"/>
        <s v="2011-09"/>
        <s v="2013-04"/>
        <s v="2010-03"/>
        <s v="2010-05"/>
        <s v="2010-06"/>
        <s v="2010-07"/>
        <s v="2010-09"/>
        <s v="2010-10"/>
        <s v="2011-01"/>
        <s v="2011-05"/>
        <s v="2011-07"/>
        <s v="2011-10"/>
        <s v="2011-12"/>
        <s v="2012-03"/>
        <s v="2013-06"/>
        <s v="2014-04"/>
        <s v="2014-06"/>
        <s v="2014-07"/>
        <s v="2015-10"/>
        <s v="2010-12"/>
        <s v="2011-11"/>
        <s v="2012-02"/>
        <s v="2012-01"/>
        <s v="2012-04"/>
        <s v="2012-05"/>
        <s v="2012-07"/>
        <s v="2012-06"/>
        <s v="2012-09"/>
        <s v="2012-10"/>
        <s v="2012-12"/>
        <s v="2013-01"/>
        <s v="2013-02"/>
        <s v="2013-07"/>
        <s v="2013-03"/>
        <s v="2013-05"/>
        <s v="2013-08"/>
        <s v="2013-09"/>
        <s v="2013-10"/>
        <s v="2013-11"/>
        <s v="2013-12"/>
        <s v="2014-01"/>
        <s v="2014-03"/>
        <s v="2014-05"/>
        <s v="2014-09"/>
        <s v="2014-10"/>
        <s v="2014-11"/>
        <s v="2014-12"/>
        <s v="2015-08"/>
        <s v="2015-01"/>
        <s v="2015-02"/>
        <s v="2015-03"/>
        <s v="2015-04"/>
        <s v="2015-05"/>
        <s v="2015-06"/>
        <s v="2015-07"/>
        <s v="2015-11"/>
        <s v="2016-03"/>
        <s v="2015-09"/>
        <s v="2015-12"/>
        <s v="2016-01"/>
        <s v="2016-02"/>
        <s v="2016-05"/>
        <s v="2016-06"/>
        <s v="2016-08"/>
        <s v="2016-09"/>
        <s v="2016-10"/>
        <s v="2016-11"/>
        <s v="2016-12"/>
        <s v="2017-01"/>
        <s v="2017-03"/>
        <s v="2017-04"/>
        <s v="2017-05"/>
        <s v="2017-06"/>
        <s v="2017-07"/>
        <s v="2017-08"/>
        <s v="2017-09"/>
        <s v="2017-10"/>
        <s v="2014-08"/>
        <s v="2016-04"/>
        <s v="2016-07"/>
        <s v="2017-02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G93:AK769" sheet="Raw"/>
  </cacheSource>
  <cacheFields>
    <cacheField name="Date" numFmtId="167">
      <sharedItems containsDate="1" containsString="0" containsBlank="1">
        <d v="2012-01-27T00:00:00Z"/>
        <d v="2012-01-28T00:00:00Z"/>
        <d v="2012-01-30T00:00:00Z"/>
        <d v="2012-02-03T00:00:00Z"/>
        <d v="2012-02-04T00:00:00Z"/>
        <d v="2012-02-05T00:00:00Z"/>
        <d v="2012-02-10T00:00:00Z"/>
        <d v="2012-02-11T00:00:00Z"/>
        <d v="2012-02-12T00:00:00Z"/>
        <d v="2012-02-13T00:00:00Z"/>
        <d v="2012-02-17T00:00:00Z"/>
        <d v="2012-02-18T00:00:00Z"/>
        <d v="2012-02-19T00:00:00Z"/>
        <d v="2012-02-20T00:00:00Z"/>
        <d v="2012-02-24T00:00:00Z"/>
        <d v="2012-02-25T00:00:00Z"/>
        <d v="2012-02-26T00:00:00Z"/>
        <d v="2012-02-27T00:00:00Z"/>
        <d v="2012-03-02T00:00:00Z"/>
        <d v="2012-03-03T00:00:00Z"/>
        <d v="2012-03-04T00:00:00Z"/>
        <d v="2012-03-05T00:00:00Z"/>
        <d v="2012-03-06T00:00:00Z"/>
        <d v="2012-03-09T00:00:00Z"/>
        <d v="2012-03-10T00:00:00Z"/>
        <d v="2012-03-11T00:00:00Z"/>
        <d v="2012-03-12T00:00:00Z"/>
        <d v="2012-03-13T00:00:00Z"/>
        <d v="2012-03-16T00:00:00Z"/>
        <d v="2012-03-17T00:00:00Z"/>
        <d v="2012-03-18T00:00:00Z"/>
        <d v="2012-03-19T00:00:00Z"/>
        <d v="2012-03-23T00:00:00Z"/>
        <d v="2012-03-24T00:00:00Z"/>
        <d v="2012-03-25T00:00:00Z"/>
        <d v="2012-03-26T00:00:00Z"/>
        <d v="2012-03-27T00:00:00Z"/>
        <d v="2012-03-30T00:00:00Z"/>
        <d v="2012-03-31T00:00:00Z"/>
        <d v="2012-04-01T00:00:00Z"/>
        <d v="2012-04-02T00:00:00Z"/>
        <d v="2012-04-06T00:00:00Z"/>
        <d v="2012-04-07T00:00:00Z"/>
        <d v="2012-04-08T00:00:00Z"/>
        <d v="2012-04-09T00:00:00Z"/>
        <d v="2012-04-14T00:00:00Z"/>
        <d v="2012-04-15T00:00:00Z"/>
        <d v="2012-04-16T00:00:00Z"/>
        <d v="2012-04-17T00:00:00Z"/>
        <d v="2012-04-20T00:00:00Z"/>
        <d v="2012-04-21T00:00:00Z"/>
        <d v="2012-04-23T00:00:00Z"/>
        <d v="2012-04-24T00:00:00Z"/>
        <d v="2012-04-27T00:00:00Z"/>
        <d v="2012-04-28T00:00:00Z"/>
        <d v="2012-04-29T00:00:00Z"/>
        <d v="2012-04-30T00:00:00Z"/>
        <d v="2012-05-04T00:00:00Z"/>
        <d v="2012-05-05T00:00:00Z"/>
        <d v="2012-05-06T00:00:00Z"/>
        <d v="2012-05-07T00:00:00Z"/>
        <d v="2012-05-08T00:00:00Z"/>
        <d v="2012-05-11T00:00:00Z"/>
        <d v="2012-05-12T00:00:00Z"/>
        <d v="2012-05-13T00:00:00Z"/>
        <d v="2012-05-14T00:00:00Z"/>
        <d v="2012-05-20T00:00:00Z"/>
        <d v="2012-05-21T00:00:00Z"/>
        <d v="2012-05-22T00:00:00Z"/>
        <d v="2012-05-28T00:00:00Z"/>
        <d v="2012-05-29T00:00:00Z"/>
        <d v="2012-06-03T00:00:00Z"/>
        <d v="2012-06-04T00:00:00Z"/>
        <d v="2012-06-05T00:00:00Z"/>
        <d v="2012-06-10T00:00:00Z"/>
        <d v="2012-06-11T00:00:00Z"/>
        <d v="2012-06-16T00:00:00Z"/>
        <d v="2012-06-17T00:00:00Z"/>
        <d v="2012-06-18T00:00:00Z"/>
        <d v="2012-06-19T00:00:00Z"/>
        <d v="2012-06-24T00:00:00Z"/>
        <d v="2012-06-25T00:00:00Z"/>
        <d v="2012-06-30T00:00:00Z"/>
        <d v="2012-07-01T00:00:00Z"/>
        <d v="2012-07-02T00:00:00Z"/>
        <d v="2012-07-03T00:00:00Z"/>
        <d v="2012-07-08T00:00:00Z"/>
        <d v="2012-07-09T00:00:00Z"/>
        <d v="2012-07-10T00:00:00Z"/>
        <d v="2012-07-16T00:00:00Z"/>
        <d v="2012-07-17T00:00:00Z"/>
        <d v="2012-07-21T00:00:00Z"/>
        <d v="2012-07-22T00:00:00Z"/>
        <d v="2012-07-23T00:00:00Z"/>
        <d v="2012-07-30T00:00:00Z"/>
        <d v="2012-07-31T00:00:00Z"/>
        <d v="2012-08-05T00:00:00Z"/>
        <d v="2012-08-06T00:00:00Z"/>
        <d v="2012-08-07T00:00:00Z"/>
        <d v="2012-08-12T00:00:00Z"/>
        <d v="2012-08-13T00:00:00Z"/>
        <d v="2012-08-19T00:00:00Z"/>
        <d v="2012-08-20T00:00:00Z"/>
        <d v="2012-08-21T00:00:00Z"/>
        <d v="2012-08-26T00:00:00Z"/>
        <d v="2012-08-27T00:00:00Z"/>
        <d v="2012-08-28T00:00:00Z"/>
        <d v="2012-09-02T00:00:00Z"/>
        <d v="2012-09-03T00:00:00Z"/>
        <d v="2012-09-09T00:00:00Z"/>
        <d v="2012-09-10T00:00:00Z"/>
        <d v="2012-09-11T00:00:00Z"/>
        <d v="2012-09-16T00:00:00Z"/>
        <d v="2012-09-17T00:00:00Z"/>
        <d v="2012-09-18T00:00:00Z"/>
        <d v="2012-09-23T00:00:00Z"/>
        <d v="2012-09-24T00:00:00Z"/>
        <d v="2012-09-25T00:00:00Z"/>
        <d v="2012-09-30T00:00:00Z"/>
        <d v="2012-10-01T00:00:00Z"/>
        <d v="2012-10-02T00:00:00Z"/>
        <d v="2012-10-07T00:00:00Z"/>
        <d v="2012-10-08T00:00:00Z"/>
        <d v="2012-10-09T00:00:00Z"/>
        <d v="2012-10-13T00:00:00Z"/>
        <d v="2012-10-14T00:00:00Z"/>
        <d v="2012-10-15T00:00:00Z"/>
        <d v="2012-10-16T00:00:00Z"/>
        <d v="2012-10-22T00:00:00Z"/>
        <d v="2012-10-23T00:00:00Z"/>
        <d v="2012-10-28T00:00:00Z"/>
        <d v="2012-10-29T00:00:00Z"/>
        <d v="2012-10-30T00:00:00Z"/>
        <d v="2012-11-05T00:00:00Z"/>
        <d v="2012-11-12T00:00:00Z"/>
        <d v="2012-11-13T00:00:00Z"/>
        <d v="2012-11-19T00:00:00Z"/>
        <d v="2012-11-20T00:00:00Z"/>
        <d v="2012-11-26T00:00:00Z"/>
        <d v="2012-11-27T00:00:00Z"/>
        <d v="2012-12-03T00:00:00Z"/>
        <d v="2012-12-04T00:00:00Z"/>
        <d v="2012-12-09T00:00:00Z"/>
        <d v="2012-12-10T00:00:00Z"/>
        <d v="2012-12-17T00:00:00Z"/>
        <d v="2012-12-24T00:00:00Z"/>
        <d v="2012-12-25T00:00:00Z"/>
        <d v="2012-12-31T00:00:00Z"/>
        <d v="2013-01-01T00:00:00Z"/>
        <d v="2013-01-07T00:00:00Z"/>
        <d v="2013-01-08T00:00:00Z"/>
        <d v="2013-01-14T00:00:00Z"/>
        <d v="2013-01-15T00:00:00Z"/>
        <d v="2013-01-21T00:00:00Z"/>
        <d v="2013-01-22T00:00:00Z"/>
        <d v="2013-01-28T00:00:00Z"/>
        <d v="2013-01-29T00:00:00Z"/>
        <d v="2013-02-04T00:00:00Z"/>
        <d v="2013-02-05T00:00:00Z"/>
        <d v="2013-02-11T00:00:00Z"/>
        <d v="2013-02-12T00:00:00Z"/>
        <d v="2013-02-18T00:00:00Z"/>
        <d v="2013-02-19T00:00:00Z"/>
        <d v="2013-02-25T00:00:00Z"/>
        <d v="2013-02-26T00:00:00Z"/>
        <d v="2013-03-04T00:00:00Z"/>
        <d v="2013-03-05T00:00:00Z"/>
        <d v="2013-03-11T00:00:00Z"/>
        <d v="2013-03-12T00:00:00Z"/>
        <d v="2013-03-18T00:00:00Z"/>
        <d v="2013-03-19T00:00:00Z"/>
        <d v="2013-03-25T00:00:00Z"/>
        <d v="2013-03-26T00:00:00Z"/>
        <d v="2013-04-01T00:00:00Z"/>
        <d v="2013-04-02T00:00:00Z"/>
        <d v="2013-04-08T00:00:00Z"/>
        <d v="2013-04-09T00:00:00Z"/>
        <d v="2013-04-15T00:00:00Z"/>
        <d v="2013-04-16T00:00:00Z"/>
        <d v="2013-04-22T00:00:00Z"/>
        <d v="2013-04-23T00:00:00Z"/>
        <d v="2013-04-29T00:00:00Z"/>
        <d v="2013-04-30T00:00:00Z"/>
        <d v="2013-05-06T00:00:00Z"/>
        <d v="2013-05-07T00:00:00Z"/>
        <d v="2013-05-13T00:00:00Z"/>
        <d v="2013-05-14T00:00:00Z"/>
        <d v="2013-05-20T00:00:00Z"/>
        <d v="2013-05-21T00:00:00Z"/>
        <d v="2013-05-27T00:00:00Z"/>
        <d v="2013-05-28T00:00:00Z"/>
        <d v="2013-06-03T00:00:00Z"/>
        <d v="2013-06-04T00:00:00Z"/>
        <d v="2013-06-10T00:00:00Z"/>
        <d v="2013-06-11T00:00:00Z"/>
        <d v="2013-06-17T00:00:00Z"/>
        <d v="2013-06-18T00:00:00Z"/>
        <d v="2013-06-24T00:00:00Z"/>
        <d v="2013-06-25T00:00:00Z"/>
        <d v="2013-07-01T00:00:00Z"/>
        <d v="2013-07-02T00:00:00Z"/>
        <d v="2013-07-08T00:00:00Z"/>
        <d v="2013-07-15T00:00:00Z"/>
        <d v="2013-07-16T00:00:00Z"/>
        <d v="2013-07-22T00:00:00Z"/>
        <d v="2013-07-23T00:00:00Z"/>
        <d v="2013-07-29T00:00:00Z"/>
        <d v="2013-07-30T00:00:00Z"/>
        <d v="2013-08-05T00:00:00Z"/>
        <d v="2013-08-06T00:00:00Z"/>
        <d v="2013-08-12T00:00:00Z"/>
        <d v="2013-08-13T00:00:00Z"/>
        <d v="2013-08-19T00:00:00Z"/>
        <d v="2013-08-20T00:00:00Z"/>
        <d v="2013-08-26T00:00:00Z"/>
        <d v="2013-08-27T00:00:00Z"/>
        <d v="2013-09-02T00:00:00Z"/>
        <d v="2013-09-03T00:00:00Z"/>
        <d v="2013-09-09T00:00:00Z"/>
        <d v="2013-09-16T00:00:00Z"/>
        <d v="2013-09-17T00:00:00Z"/>
        <d v="2013-09-23T00:00:00Z"/>
        <d v="2013-09-24T00:00:00Z"/>
        <d v="2013-09-30T00:00:00Z"/>
        <d v="2013-10-01T00:00:00Z"/>
        <d v="2013-10-07T00:00:00Z"/>
        <d v="2013-10-08T00:00:00Z"/>
        <d v="2013-10-14T00:00:00Z"/>
        <d v="2013-10-15T00:00:00Z"/>
        <d v="2013-10-21T00:00:00Z"/>
        <d v="2013-10-22T00:00:00Z"/>
        <d v="2013-10-28T00:00:00Z"/>
        <d v="2013-10-29T00:00:00Z"/>
        <d v="2013-11-04T00:00:00Z"/>
        <d v="2013-11-05T00:00:00Z"/>
        <d v="2013-11-11T00:00:00Z"/>
        <d v="2013-11-12T00:00:00Z"/>
        <d v="2013-11-18T00:00:00Z"/>
        <d v="2013-11-19T00:00:00Z"/>
        <d v="2013-11-25T00:00:00Z"/>
        <d v="2013-11-26T00:00:00Z"/>
        <d v="2013-12-02T00:00:00Z"/>
        <d v="2013-12-03T00:00:00Z"/>
        <d v="2013-12-09T00:00:00Z"/>
        <d v="2013-12-10T00:00:00Z"/>
        <d v="2013-12-16T00:00:00Z"/>
        <d v="2013-12-17T00:00:00Z"/>
        <d v="2013-12-23T00:00:00Z"/>
        <d v="2013-12-24T00:00:00Z"/>
        <d v="2013-12-30T00:00:00Z"/>
        <d v="2013-12-31T00:00:00Z"/>
        <d v="2014-01-06T00:00:00Z"/>
        <d v="2014-01-07T00:00:00Z"/>
        <d v="2014-01-13T00:00:00Z"/>
        <d v="2014-01-14T00:00:00Z"/>
        <d v="2014-01-20T00:00:00Z"/>
        <d v="2014-01-21T00:00:00Z"/>
        <d v="2014-01-27T00:00:00Z"/>
        <d v="2014-01-28T00:00:00Z"/>
        <d v="2014-02-03T00:00:00Z"/>
        <d v="2014-02-04T00:00:00Z"/>
        <d v="2014-02-10T00:00:00Z"/>
        <d v="2014-02-17T00:00:00Z"/>
        <d v="2014-02-18T00:00:00Z"/>
        <d v="2014-02-24T00:00:00Z"/>
        <d v="2014-02-25T00:00:00Z"/>
        <d v="2014-03-03T00:00:00Z"/>
        <d v="2014-03-04T00:00:00Z"/>
        <d v="2014-03-10T00:00:00Z"/>
        <d v="2014-03-11T00:00:00Z"/>
        <d v="2014-03-17T00:00:00Z"/>
        <d v="2014-03-18T00:00:00Z"/>
        <d v="2014-03-24T00:00:00Z"/>
        <d v="2014-03-25T00:00:00Z"/>
        <d v="2014-03-31T00:00:00Z"/>
        <d v="2014-04-01T00:00:00Z"/>
        <d v="2014-04-07T00:00:00Z"/>
        <d v="2014-04-08T00:00:00Z"/>
        <d v="2014-04-14T00:00:00Z"/>
        <d v="2014-04-15T00:00:00Z"/>
        <d v="2014-04-21T00:00:00Z"/>
        <d v="2014-04-22T00:00:00Z"/>
        <d v="2014-04-28T00:00:00Z"/>
        <d v="2014-04-29T00:00:00Z"/>
        <d v="2014-05-05T00:00:00Z"/>
        <d v="2014-05-06T00:00:00Z"/>
        <d v="2014-05-12T00:00:00Z"/>
        <d v="2014-05-13T00:00:00Z"/>
        <d v="2014-05-19T00:00:00Z"/>
        <d v="2014-05-20T00:00:00Z"/>
        <d v="2014-05-26T00:00:00Z"/>
        <d v="2014-05-27T00:00:00Z"/>
        <d v="2014-06-02T00:00:00Z"/>
        <d v="2014-06-03T00:00:00Z"/>
        <d v="2014-06-09T00:00:00Z"/>
        <d v="2014-06-10T00:00:00Z"/>
        <d v="2014-06-16T00:00:00Z"/>
        <d v="2014-06-17T00:00:00Z"/>
        <d v="2014-06-23T00:00:00Z"/>
        <d v="2014-06-24T00:00:00Z"/>
        <d v="2014-06-30T00:00:00Z"/>
        <d v="2014-07-01T00:00:00Z"/>
        <d v="2014-07-07T00:00:00Z"/>
        <d v="2014-07-08T00:00:00Z"/>
        <d v="2014-07-14T00:00:00Z"/>
        <d v="2014-07-15T00:00:00Z"/>
        <d v="2014-07-21T00:00:00Z"/>
        <d v="2014-07-22T00:00:00Z"/>
        <d v="2014-07-28T00:00:00Z"/>
        <d v="2014-07-29T00:00:00Z"/>
        <d v="2014-08-04T00:00:00Z"/>
        <d v="2014-08-05T00:00:00Z"/>
        <d v="2014-08-11T00:00:00Z"/>
        <d v="2014-08-12T00:00:00Z"/>
        <d v="2014-08-18T00:00:00Z"/>
        <d v="2014-08-19T00:00:00Z"/>
        <d v="2014-08-25T00:00:00Z"/>
        <d v="2014-08-26T00:00:00Z"/>
        <d v="2014-09-01T00:00:00Z"/>
        <d v="2014-09-02T00:00:00Z"/>
        <d v="2014-09-08T00:00:00Z"/>
        <d v="2014-09-09T00:00:00Z"/>
        <d v="2014-09-15T00:00:00Z"/>
        <d v="2014-09-16T00:00:00Z"/>
        <d v="2014-09-22T00:00:00Z"/>
        <d v="2014-09-23T00:00:00Z"/>
        <d v="2014-09-29T00:00:00Z"/>
        <d v="2014-09-30T00:00:00Z"/>
        <d v="2014-10-06T00:00:00Z"/>
        <d v="2014-10-07T00:00:00Z"/>
        <d v="2014-10-13T00:00:00Z"/>
        <d v="2014-10-14T00:00:00Z"/>
        <d v="2014-10-20T00:00:00Z"/>
        <d v="2014-10-21T00:00:00Z"/>
        <d v="2014-10-27T00:00:00Z"/>
        <d v="2014-10-28T00:00:00Z"/>
        <d v="2014-11-03T00:00:00Z"/>
        <d v="2014-11-04T00:00:00Z"/>
        <d v="2014-11-10T00:00:00Z"/>
        <d v="2014-11-11T00:00:00Z"/>
        <d v="2014-11-17T00:00:00Z"/>
        <d v="2014-11-18T00:00:00Z"/>
        <d v="2014-11-24T00:00:00Z"/>
        <d v="2014-11-25T00:00:00Z"/>
        <d v="2014-12-01T00:00:00Z"/>
        <d v="2014-12-02T00:00:00Z"/>
        <d v="2014-12-08T00:00:00Z"/>
        <d v="2014-12-09T00:00:00Z"/>
        <d v="2014-12-15T00:00:00Z"/>
        <d v="2014-12-16T00:00:00Z"/>
        <d v="2014-12-22T00:00:00Z"/>
        <d v="2014-12-23T00:00:00Z"/>
        <d v="2014-12-29T00:00:00Z"/>
        <d v="2014-12-30T00:00:00Z"/>
        <d v="2015-01-05T00:00:00Z"/>
        <d v="2015-01-06T00:00:00Z"/>
        <d v="2015-01-12T00:00:00Z"/>
        <d v="2015-01-13T00:00:00Z"/>
        <d v="2015-01-19T00:00:00Z"/>
        <d v="2015-01-20T00:00:00Z"/>
        <d v="2015-01-26T00:00:00Z"/>
        <d v="2015-01-27T00:00:00Z"/>
        <d v="2015-02-02T00:00:00Z"/>
        <d v="2015-02-03T00:00:00Z"/>
        <d v="2015-02-09T00:00:00Z"/>
        <d v="2015-02-10T00:00:00Z"/>
        <d v="2015-02-16T00:00:00Z"/>
        <d v="2015-02-17T00:00:00Z"/>
        <d v="2015-02-23T00:00:00Z"/>
        <d v="2015-02-24T00:00:00Z"/>
        <d v="2015-03-02T00:00:00Z"/>
        <d v="2015-03-03T00:00:00Z"/>
        <d v="2015-03-09T00:00:00Z"/>
        <d v="2015-03-10T00:00:00Z"/>
        <d v="2015-03-16T00:00:00Z"/>
        <d v="2015-03-17T00:00:00Z"/>
        <d v="2015-03-23T00:00:00Z"/>
        <d v="2015-03-24T00:00:00Z"/>
        <d v="2015-03-30T00:00:00Z"/>
        <d v="2015-03-31T00:00:00Z"/>
        <d v="2015-04-06T00:00:00Z"/>
        <d v="2015-04-07T00:00:00Z"/>
        <d v="2015-04-13T00:00:00Z"/>
        <d v="2015-04-14T00:00:00Z"/>
        <d v="2015-04-20T00:00:00Z"/>
        <d v="2015-04-21T00:00:00Z"/>
        <d v="2015-04-27T00:00:00Z"/>
        <d v="2015-04-28T00:00:00Z"/>
        <d v="2015-05-04T00:00:00Z"/>
        <d v="2015-05-05T00:00:00Z"/>
        <d v="2015-05-11T00:00:00Z"/>
        <d v="2015-05-12T00:00:00Z"/>
        <d v="2015-05-18T00:00:00Z"/>
        <d v="2015-05-19T00:00:00Z"/>
        <d v="2015-05-25T00:00:00Z"/>
        <d v="2015-05-26T00:00:00Z"/>
        <d v="2015-06-01T00:00:00Z"/>
        <d v="2015-06-02T00:00:00Z"/>
        <d v="2015-06-08T00:00:00Z"/>
        <d v="2015-06-09T00:00:00Z"/>
        <d v="2015-06-15T00:00:00Z"/>
        <d v="2015-06-16T00:00:00Z"/>
        <d v="2015-06-22T00:00:00Z"/>
        <d v="2015-06-23T00:00:00Z"/>
        <d v="2015-06-29T00:00:00Z"/>
        <d v="2015-06-30T00:00:00Z"/>
        <d v="2015-07-06T00:00:00Z"/>
        <d v="2015-07-07T00:00:00Z"/>
        <d v="2015-07-13T00:00:00Z"/>
        <d v="2015-07-14T00:00:00Z"/>
        <d v="2015-07-20T00:00:00Z"/>
        <d v="2015-07-21T00:00:00Z"/>
        <d v="2015-07-27T00:00:00Z"/>
        <d v="2015-07-28T00:00:00Z"/>
        <d v="2015-08-03T00:00:00Z"/>
        <d v="2015-08-04T00:00:00Z"/>
        <d v="2015-08-10T00:00:00Z"/>
        <d v="2015-08-11T00:00:00Z"/>
        <d v="2015-08-17T00:00:00Z"/>
        <d v="2015-08-18T00:00:00Z"/>
        <d v="2015-08-25T00:00:00Z"/>
        <d v="2015-09-01T00:00:00Z"/>
        <d v="2015-09-07T00:00:00Z"/>
        <d v="2015-09-08T00:00:00Z"/>
        <d v="2015-09-14T00:00:00Z"/>
        <d v="2015-09-15T00:00:00Z"/>
        <d v="2015-09-21T00:00:00Z"/>
        <d v="2015-09-22T00:00:00Z"/>
        <d v="2015-09-28T00:00:00Z"/>
        <d v="2015-09-29T00:00:00Z"/>
        <d v="2015-10-05T00:00:00Z"/>
        <d v="2015-10-06T00:00:00Z"/>
        <d v="2015-10-12T00:00:00Z"/>
        <d v="2015-10-13T00:00:00Z"/>
        <d v="2015-10-19T00:00:00Z"/>
        <d v="2015-10-20T00:00:00Z"/>
        <d v="2015-10-26T00:00:00Z"/>
        <d v="2015-10-27T00:00:00Z"/>
        <d v="2015-11-02T00:00:00Z"/>
        <d v="2015-11-03T00:00:00Z"/>
        <d v="2015-11-09T00:00:00Z"/>
        <d v="2015-11-10T00:00:00Z"/>
        <d v="2015-11-16T00:00:00Z"/>
        <d v="2015-11-17T00:00:00Z"/>
        <d v="2015-11-23T00:00:00Z"/>
        <d v="2015-11-24T00:00:00Z"/>
        <d v="2015-11-30T00:00:00Z"/>
        <d v="2015-12-01T00:00:00Z"/>
        <d v="2015-12-07T00:00:00Z"/>
        <d v="2015-12-08T00:00:00Z"/>
        <d v="2015-12-14T00:00:00Z"/>
        <d v="2015-12-15T00:00:00Z"/>
        <d v="2015-12-21T00:00:00Z"/>
        <d v="2015-12-22T00:00:00Z"/>
        <d v="2015-12-28T00:00:00Z"/>
        <d v="2015-12-29T00:00:00Z"/>
        <d v="2016-01-04T00:00:00Z"/>
        <d v="2016-01-05T00:00:00Z"/>
        <d v="2016-01-11T00:00:00Z"/>
        <d v="2016-01-12T00:00:00Z"/>
        <d v="2016-01-18T00:00:00Z"/>
        <d v="2016-01-19T00:00:00Z"/>
        <d v="2016-01-25T00:00:00Z"/>
        <d v="2016-01-26T00:00:00Z"/>
        <d v="2016-02-01T00:00:00Z"/>
        <d v="2016-02-02T00:00:00Z"/>
        <d v="2016-02-08T00:00:00Z"/>
        <d v="2016-02-09T00:00:00Z"/>
        <d v="2016-02-15T00:00:00Z"/>
        <d v="2016-02-16T00:00:00Z"/>
        <d v="2016-02-22T00:00:00Z"/>
        <d v="2016-02-23T00:00:00Z"/>
        <d v="2016-02-29T00:00:00Z"/>
        <d v="2016-03-01T00:00:00Z"/>
        <d v="2016-03-07T00:00:00Z"/>
        <d v="2016-03-08T00:00:00Z"/>
        <d v="2016-03-14T00:00:00Z"/>
        <d v="2016-03-15T00:00:00Z"/>
        <d v="2016-03-21T00:00:00Z"/>
        <d v="2016-03-22T00:00:00Z"/>
        <d v="2016-03-28T00:00:00Z"/>
        <d v="2016-03-29T00:00:00Z"/>
        <d v="2016-04-04T00:00:00Z"/>
        <d v="2016-04-05T00:00:00Z"/>
        <d v="2016-04-11T00:00:00Z"/>
        <d v="2016-04-12T00:00:00Z"/>
        <d v="2016-04-18T00:00:00Z"/>
        <d v="2016-04-19T00:00:00Z"/>
        <d v="2016-04-25T00:00:00Z"/>
        <d v="2016-04-26T00:00:00Z"/>
        <d v="2016-05-02T00:00:00Z"/>
        <d v="2016-05-03T00:00:00Z"/>
        <d v="2016-05-09T00:00:00Z"/>
        <d v="2016-05-10T00:00:00Z"/>
        <d v="2016-05-16T00:00:00Z"/>
        <d v="2016-05-17T00:00:00Z"/>
        <d v="2016-05-23T00:00:00Z"/>
        <d v="2016-05-24T00:00:00Z"/>
        <d v="2016-05-30T00:00:00Z"/>
        <d v="2016-05-31T00:00:00Z"/>
        <d v="2016-06-07T00:00:00Z"/>
        <d v="2016-06-13T00:00:00Z"/>
        <d v="2016-06-14T00:00:00Z"/>
        <d v="2016-06-20T00:00:00Z"/>
        <d v="2016-06-21T00:00:00Z"/>
        <d v="2016-06-27T00:00:00Z"/>
        <d v="2016-06-28T00:00:00Z"/>
        <d v="2016-07-04T00:00:00Z"/>
        <d v="2016-07-05T00:00:00Z"/>
        <d v="2016-07-12T00:00:00Z"/>
        <d v="2016-07-18T00:00:00Z"/>
        <d v="2016-07-19T00:00:00Z"/>
        <d v="2016-07-25T00:00:00Z"/>
        <d v="2016-07-26T00:00:00Z"/>
        <d v="2016-08-01T00:00:00Z"/>
        <d v="2016-08-02T00:00:00Z"/>
        <d v="2016-08-08T00:00:00Z"/>
        <d v="2016-08-09T00:00:00Z"/>
        <d v="2016-08-15T00:00:00Z"/>
        <d v="2016-08-16T00:00:00Z"/>
        <d v="2016-08-22T00:00:00Z"/>
        <d v="2016-08-23T00:00:00Z"/>
        <d v="2016-08-29T00:00:00Z"/>
        <d v="2016-08-30T00:00:00Z"/>
        <d v="2016-09-05T00:00:00Z"/>
        <d v="2016-09-06T00:00:00Z"/>
        <d v="2016-09-12T00:00:00Z"/>
        <d v="2016-09-13T00:00:00Z"/>
        <d v="2016-09-19T00:00:00Z"/>
        <d v="2016-09-20T00:00:00Z"/>
        <d v="2016-09-26T00:00:00Z"/>
        <d v="2016-09-27T00:00:00Z"/>
        <d v="2016-10-03T00:00:00Z"/>
        <d v="2016-10-04T00:00:00Z"/>
        <d v="2016-10-10T00:00:00Z"/>
        <d v="2016-10-11T00:00:00Z"/>
        <d v="2016-10-17T00:00:00Z"/>
        <d v="2016-10-18T00:00:00Z"/>
        <d v="2016-10-24T00:00:00Z"/>
        <d v="2016-10-25T00:00:00Z"/>
        <d v="2016-11-01T00:00:00Z"/>
        <d v="2016-11-07T00:00:00Z"/>
        <d v="2016-11-08T00:00:00Z"/>
        <d v="2016-11-14T00:00:00Z"/>
        <d v="2016-11-15T00:00:00Z"/>
        <d v="2016-11-21T00:00:00Z"/>
        <d v="2016-11-22T00:00:00Z"/>
        <d v="2016-11-28T00:00:00Z"/>
        <d v="2016-11-29T00:00:00Z"/>
        <d v="2016-12-05T00:00:00Z"/>
        <d v="2016-12-06T00:00:00Z"/>
        <d v="2016-12-12T00:00:00Z"/>
        <d v="2016-12-13T00:00:00Z"/>
        <d v="2016-12-19T00:00:00Z"/>
        <d v="2016-12-26T00:00:00Z"/>
        <d v="2016-12-27T00:00:00Z"/>
        <d v="2017-01-02T00:00:00Z"/>
        <d v="2017-01-03T00:00:00Z"/>
        <d v="2017-01-09T00:00:00Z"/>
        <d v="2017-01-10T00:00:00Z"/>
        <d v="2017-01-16T00:00:00Z"/>
        <d v="2017-01-17T00:00:00Z"/>
        <d v="2017-01-23T00:00:00Z"/>
        <d v="2017-01-24T00:00:00Z"/>
        <d v="2017-01-30T00:00:00Z"/>
        <d v="2017-01-31T00:00:00Z"/>
        <d v="2017-02-06T00:00:00Z"/>
        <d v="2017-02-07T00:00:00Z"/>
        <d v="2017-02-13T00:00:00Z"/>
        <d v="2017-02-14T00:00:00Z"/>
        <d v="2017-02-20T00:00:00Z"/>
        <d v="2017-02-21T00:00:00Z"/>
        <d v="2017-02-27T00:00:00Z"/>
        <d v="2017-02-28T00:00:00Z"/>
        <d v="2017-03-06T00:00:00Z"/>
        <d v="2017-03-07T00:00:00Z"/>
        <d v="2017-03-13T00:00:00Z"/>
        <d v="2017-03-14T00:00:00Z"/>
        <d v="2017-03-20T00:00:00Z"/>
        <d v="2017-03-21T00:00:00Z"/>
        <d v="2017-03-27T00:00:00Z"/>
        <d v="2017-03-28T00:00:00Z"/>
        <d v="2017-04-03T00:00:00Z"/>
        <d v="2017-04-04T00:00:00Z"/>
        <d v="2017-04-11T00:00:00Z"/>
        <d v="2017-04-17T00:00:00Z"/>
        <d v="2017-04-18T00:00:00Z"/>
        <d v="2017-04-24T00:00:00Z"/>
        <d v="2017-04-25T00:00:00Z"/>
        <d v="2017-05-01T00:00:00Z"/>
        <d v="2017-05-02T00:00:00Z"/>
        <d v="2017-05-08T00:00:00Z"/>
        <d v="2017-05-09T00:00:00Z"/>
        <d v="2017-05-15T00:00:00Z"/>
        <d v="2017-05-16T00:00:00Z"/>
        <d v="2017-05-22T00:00:00Z"/>
        <d v="2017-05-23T00:00:00Z"/>
        <d v="2017-05-29T00:00:00Z"/>
        <d v="2017-05-30T00:00:00Z"/>
        <d v="2017-06-05T00:00:00Z"/>
        <d v="2017-06-06T00:00:00Z"/>
        <d v="2017-06-13T00:00:00Z"/>
        <d v="2017-06-19T00:00:00Z"/>
        <d v="2017-06-20T00:00:00Z"/>
        <d v="2017-06-26T00:00:00Z"/>
        <d v="2017-06-27T00:00:00Z"/>
        <d v="2017-07-03T00:00:00Z"/>
        <d v="2017-07-04T00:00:00Z"/>
        <d v="2017-07-10T00:00:00Z"/>
        <d v="2017-07-11T00:00:00Z"/>
        <d v="2017-07-18T00:00:00Z"/>
        <d v="2017-07-24T00:00:00Z"/>
        <d v="2017-07-25T00:00:00Z"/>
        <d v="2017-07-31T00:00:00Z"/>
        <d v="2017-08-01T00:00:00Z"/>
        <d v="2017-08-07T00:00:00Z"/>
        <d v="2017-08-08T00:00:00Z"/>
        <d v="2017-08-14T00:00:00Z"/>
        <d v="2017-08-15T00:00:00Z"/>
        <d v="2017-08-21T00:00:00Z"/>
        <d v="2017-08-22T00:00:00Z"/>
        <d v="2017-08-28T00:00:00Z"/>
        <d v="2017-08-29T00:00:00Z"/>
        <d v="2017-09-04T00:00:00Z"/>
        <d v="2017-09-05T00:00:00Z"/>
        <d v="2017-09-12T00:00:00Z"/>
        <d v="2017-09-18T00:00:00Z"/>
        <d v="2017-09-19T00:00:00Z"/>
        <d v="2017-09-25T00:00:00Z"/>
        <d v="2017-09-26T00:00:00Z"/>
        <d v="2017-10-02T00:00:00Z"/>
        <d v="2017-10-03T00:00:00Z"/>
        <d v="2017-10-09T00:00:00Z"/>
        <d v="2017-10-10T00:00:00Z"/>
        <d v="2017-10-16T00:00:00Z"/>
        <d v="2017-10-17T00:00:00Z"/>
        <d v="2017-10-23T00:00:00Z"/>
        <d v="2017-10-24T00:00:00Z"/>
        <d v="2017-10-30T00:00:00Z"/>
        <d v="2017-10-31T00:00:00Z"/>
        <d v="2017-11-06T00:00:00Z"/>
        <d v="2017-11-07T00:00:00Z"/>
        <m/>
      </sharedItems>
    </cacheField>
    <cacheField name="Score" numFmtId="0">
      <sharedItems containsString="0" containsBlank="1" containsNumber="1">
        <n v="0.641725664605"/>
        <n v="0.881332007709"/>
        <n v="0.775979971723"/>
        <n v="0.766504962674"/>
        <n v="0.884156116363"/>
        <n v="0.734218115226"/>
        <n v="0.454928786443"/>
        <n v="0.817803602582"/>
        <n v="0.770491859049"/>
        <n v="0.813296898411"/>
        <n v="0.695065173546"/>
        <n v="0.846740277068"/>
        <n v="0.598307314081"/>
        <n v="0.838000350999"/>
        <n v="0.651463229261"/>
        <n v="0.85274835855"/>
        <n v="0.790109829502"/>
        <n v="0.711841886619"/>
        <n v="0.784284023866"/>
        <n v="0.628030878355"/>
        <n v="0.69182007525"/>
        <n v="0.727919775996"/>
        <n v="0.67766065047"/>
        <n v="0.755478526112"/>
        <n v="0.914050749318"/>
        <n v="0.674080412096"/>
        <n v="0.656347148594"/>
        <n v="0.708723358464"/>
        <n v="0.900714095537"/>
        <n v="0.823836015075"/>
        <n v="0.672218087064"/>
        <n v="0.619352923386"/>
        <n v="0.855021766905"/>
        <n v="0.725950017068"/>
        <n v="0.692094851377"/>
        <n v="0.730858317977"/>
        <n v="0.809720563729"/>
        <n v="0.612332077016"/>
        <n v="0.730714624162"/>
        <n v="0.756979049266"/>
        <n v="0.780285170118"/>
        <n v="0.767587067374"/>
        <n v="0.775883692147"/>
        <n v="0.894649646539"/>
        <n v="0.701261168643"/>
        <n v="0.70280190332"/>
        <n v="0.632078061043"/>
        <n v="0.685914745102"/>
        <n v="0.4236012555"/>
        <n v="0.768570199303"/>
        <n v="0.835698873819"/>
        <n v="0.619478118371"/>
        <n v="0.963688484669"/>
        <n v="0.868339465387"/>
        <n v="0.889157344153"/>
        <n v="0.551350666353"/>
        <n v="0.591875697992"/>
        <n v="0.590468657209"/>
        <n v="0.833529754265"/>
        <n v="0.577465323119"/>
        <n v="0.643852427613"/>
        <n v="0.63543093763"/>
        <n v="0.755458403389"/>
        <n v="0.788827354162"/>
        <n v="0.745635855328"/>
        <n v="0.808012022553"/>
        <n v="0.824337557776"/>
        <n v="0.776542701421"/>
        <n v="0.738031572089"/>
        <n v="0.734696586409"/>
        <n v="0.508376520858"/>
        <n v="0.782364808359"/>
        <n v="0.790257808302"/>
        <n v="0.831718133452"/>
        <n v="0.726655974049"/>
        <n v="0.678978953241"/>
        <n v="0.62215251351"/>
        <n v="0.701663793557"/>
        <n v="0.59765453716"/>
        <n v="0.862244488179"/>
        <n v="0.745397822599"/>
        <n v="0.789243518289"/>
        <n v="0.928968884289"/>
        <n v="0.790717941279"/>
        <n v="0.768517221245"/>
        <n v="0.80915786224"/>
        <n v="0.845744008585"/>
        <n v="0.706290469957"/>
        <n v="0.802279320859"/>
        <n v="0.782197714859"/>
        <n v="0.858791741003"/>
        <n v="0.70801946808"/>
        <n v="0.769750557474"/>
        <n v="0.640888577251"/>
        <n v="0.681190494818"/>
        <n v="0.617187485949"/>
        <n v="0.665472333123"/>
        <n v="0.7070925458"/>
        <n v="0.705021495385"/>
        <n v="0.650007393317"/>
        <n v="0.679891173981"/>
        <n v="0.76407501642"/>
        <n v="0.746753893609"/>
        <n v="0.498393803416"/>
        <n v="0.74238012277"/>
        <n v="0.765798111557"/>
        <n v="0.806388907126"/>
        <n v="0.743149101459"/>
        <n v="0.738130624703"/>
        <n v="0.767363411775"/>
        <n v="0.737487467778"/>
        <n v="0.889151588845"/>
        <n v="0.737554710401"/>
        <n v="0.658915267193"/>
        <n v="0.648709046844"/>
        <n v="0.704813783687"/>
        <n v="0.78543108219"/>
        <n v="0.854471449771"/>
        <n v="0.669482178046"/>
        <n v="0.699176049557"/>
        <n v="0.685482676489"/>
        <n v="0.754274147651"/>
        <n v="0.676363253367"/>
        <n v="0.976872355443"/>
        <n v="0.800555873261"/>
        <n v="0.80302614778"/>
        <n v="0.741568529503"/>
        <n v="0.826516713264"/>
        <n v="0.753470320155"/>
        <n v="0.715397047954"/>
        <n v="0.580456606428"/>
        <n v="0.724692490882"/>
        <n v="0.595931051612"/>
        <n v="0.700477642819"/>
        <n v="0.776283038456"/>
        <n v="0.855015783123"/>
        <n v="0.685558811011"/>
        <n v="0.642860966537"/>
        <n v="0.71364374247"/>
        <n v="0.890653956402"/>
        <n v="0.650480703926"/>
        <n v="0.85275510006"/>
        <n v="0.828688677056"/>
        <n v="0.704848473668"/>
        <n v="0.73719071171"/>
        <n v="0.686658952821"/>
        <n v="0.7399923586"/>
        <n v="0.725170745516"/>
        <n v="0.826156192724"/>
        <n v="0.811317412538"/>
        <n v="0.854458600419"/>
        <n v="0.646704576525"/>
        <n v="0.778642415563"/>
        <n v="0.717235699365"/>
        <n v="0.670315543083"/>
        <n v="0.624383580209"/>
        <n v="0.699582133724"/>
        <n v="0.743859171961"/>
        <n v="0.740169925388"/>
        <n v="0.710172874945"/>
        <n v="0.774088277394"/>
        <n v="0.686960254152"/>
        <n v="0.555887868008"/>
        <n v="0.735568704464"/>
        <n v="0.804262714887"/>
        <n v="0.713941557536"/>
        <n v="0.719842714227"/>
        <n v="0.729215758443"/>
        <n v="0.815364406596"/>
        <n v="0.652407926049"/>
        <n v="0.713617236077"/>
        <n v="0.827654158239"/>
        <n v="0.706910087125"/>
        <n v="0.739005728028"/>
        <n v="0.686751143472"/>
        <n v="0.748233054521"/>
        <n v="0.651856192329"/>
        <n v="0.686463348747"/>
        <n v="0.729041973564"/>
        <n v="0.755450967726"/>
        <n v="0.663479509532"/>
        <n v="0.697386883921"/>
        <n v="0.721794831838"/>
        <n v="0.800973122468"/>
        <n v="0.708148048998"/>
        <n v="0.735644320365"/>
        <n v="0.66778535919"/>
        <n v="0.697889604654"/>
        <n v="0.66687778017"/>
        <n v="0.668542758792"/>
        <n v="0.760020320736"/>
        <n v="0.706983835328"/>
        <n v="0.487771129084"/>
        <n v="0.656196276089"/>
        <n v="0.726456152503"/>
        <n v="0.721199657827"/>
        <n v="0.69660279641"/>
        <n v="0.718277830381"/>
        <n v="0.649868956951"/>
        <n v="0.613514216152"/>
        <n v="0.703941458459"/>
        <n v="0.687075274114"/>
        <n v="0.653295357204"/>
        <n v="0.748580896726"/>
        <n v="0.69252854358"/>
        <n v="0.736821140603"/>
        <n v="0.691985485585"/>
        <n v="0.826243279232"/>
        <n v="0.708376460871"/>
        <n v="0.882017456698"/>
        <n v="0.670753612097"/>
        <n v="0.766068406925"/>
        <n v="0.670714514712"/>
        <n v="0.789777019724"/>
        <n v="0.735146639923"/>
        <n v="0.700294314336"/>
        <n v="0.775737159631"/>
        <n v="0.761799920161"/>
        <n v="0.779205176139"/>
        <n v="0.669619952769"/>
        <n v="0.73054543386"/>
        <n v="0.759915119762"/>
        <n v="0.756603893688"/>
        <n v="0.725422246482"/>
        <n v="0.609737185946"/>
        <n v="0.676932673854"/>
        <n v="0.506199632818"/>
        <n v="0.700289725567"/>
        <n v="0.674624170513"/>
        <n v="0.774940336071"/>
        <n v="0.794751772231"/>
        <n v="0.740017977911"/>
        <n v="0.597747550433"/>
        <n v="0.636203490859"/>
        <n v="0.534102449477"/>
        <n v="0.677798588651"/>
        <n v="0.595977214447"/>
        <n v="0.674843667369"/>
        <n v="0.552717058524"/>
        <n v="0.680977432573"/>
        <n v="0.742612516358"/>
        <n v="0.654567642754"/>
        <n v="0.809394013746"/>
        <n v="0.565116272771"/>
        <n v="0.668939199223"/>
        <n v="0.73123282614"/>
        <n v="0.700552159879"/>
        <n v="0.699110766046"/>
        <n v="0.720415349104"/>
        <n v="0.643860857768"/>
        <n v="0.690139048293"/>
        <n v="0.714530484229"/>
        <n v="0.735665363306"/>
        <n v="0.668837572099"/>
        <n v="0.732545680115"/>
        <n v="0.689177042541"/>
        <n v="0.772906470334"/>
        <n v="0.712547870804"/>
        <n v="0.720799378786"/>
        <n v="0.69500715984"/>
        <n v="0.732812769531"/>
        <n v="0.62235452133"/>
        <n v="0.645197293458"/>
        <n v="0.767003203695"/>
        <n v="0.740467921829"/>
        <n v="0.304647067779"/>
        <n v="0.599230393166"/>
        <n v="0.738349767945"/>
        <n v="0.683392249847"/>
        <n v="0.696318696649"/>
        <n v="0.681939958879"/>
        <n v="0.649505595032"/>
        <n v="0.661971149011"/>
        <n v="0.631139776252"/>
        <n v="0.638102808327"/>
        <n v="0.718153278552"/>
        <n v="0.737566960994"/>
        <n v="0.709895836243"/>
        <n v="0.671344603635"/>
        <n v="0.723482282322"/>
        <n v="0.671187341119"/>
        <n v="0.768154063003"/>
        <n v="0.730870403097"/>
        <n v="0.745521311105"/>
        <n v="0.653085122795"/>
        <n v="0.64921441603"/>
        <n v="0.695580247361"/>
        <n v="0.584500385055"/>
        <n v="0.705453621181"/>
        <n v="0.637444448151"/>
        <n v="0.743726294519"/>
        <n v="0.705721763853"/>
        <n v="0.627958486083"/>
        <n v="0.643654830871"/>
        <n v="0.676984133012"/>
        <n v="0.577387169669"/>
        <n v="0.682133879897"/>
        <n v="0.668181347112"/>
        <n v="0.64038327232"/>
        <n v="0.767355672826"/>
        <n v="0.676401384088"/>
        <n v="0.707638625388"/>
        <n v="0.655817363132"/>
        <n v="0.588225980565"/>
        <n v="0.795214363869"/>
        <n v="0.739674114975"/>
        <n v="0.82730579865"/>
        <n v="0.658662499205"/>
        <n v="0.702831184098"/>
        <n v="0.69966618652"/>
        <n v="0.717586528565"/>
        <n v="0.618878949286"/>
        <n v="0.685896039181"/>
        <n v="0.591698610952"/>
        <n v="0.739437550012"/>
        <n v="0.757415363748"/>
        <n v="0.677151359373"/>
        <n v="0.642629119285"/>
        <n v="0.590847812903"/>
        <n v="0.645345052038"/>
        <n v="0.683597922545"/>
        <n v="0.72314009776"/>
        <n v="0.610779632394"/>
        <n v="0.612478360929"/>
        <n v="0.535678087643"/>
        <n v="0.578553342572"/>
        <n v="0.666754560623"/>
        <n v="0.684025803708"/>
        <n v="0.7484074095"/>
        <n v="0.800661694024"/>
        <n v="0.675656623078"/>
        <n v="0.705939480737"/>
        <n v="0.665074263938"/>
        <n v="0.697807247887"/>
        <n v="0.675438909138"/>
        <n v="0.751966568038"/>
        <n v="0.736257363508"/>
        <n v="0.762348973685"/>
        <n v="0.7389341196"/>
        <n v="0.676238278885"/>
        <n v="0.705576275116"/>
        <n v="0.78398571757"/>
        <n v="0.7079437087"/>
        <n v="0.757236359925"/>
        <n v="0.681279670575"/>
        <n v="0.597221270185"/>
        <n v="0.531284259803"/>
        <n v="0.619830824263"/>
        <n v="0.602043136156"/>
        <n v="0.618164888267"/>
        <n v="0.664481456805"/>
        <n v="0.64050788972"/>
        <n v="0.734025747029"/>
        <n v="0.634997907864"/>
        <n v="0.735230616278"/>
        <n v="0.733201536374"/>
        <n v="0.686751224525"/>
        <n v="0.66583720268"/>
        <n v="0.64403858599"/>
        <n v="0.636667505958"/>
        <n v="0.705514687746"/>
        <n v="0.722991370409"/>
        <n v="0.718147117199"/>
        <n v="0.78623586697"/>
        <n v="0.694291592047"/>
        <n v="0.785441369953"/>
        <n v="0.687349205011"/>
        <n v="0.693611752717"/>
        <n v="0.720846014692"/>
        <n v="0.665997762706"/>
        <n v="0.798158077848"/>
        <n v="0.748323353083"/>
        <n v="0.707853049341"/>
        <n v="0.678287323177"/>
        <n v="0.683036576018"/>
        <n v="0.644364474757"/>
        <n v="0.644158291049"/>
        <n v="0.801141205077"/>
        <n v="0.709247069829"/>
        <n v="0.765078782891"/>
        <n v="0.779685387264"/>
        <n v="0.791498566804"/>
        <n v="0.667346274553"/>
        <n v="0.761267096829"/>
        <n v="0.720567605363"/>
        <n v="0.706903503144"/>
        <n v="0.586245490182"/>
        <n v="0.676922018208"/>
        <n v="0.643796804338"/>
        <n v="0.576655871221"/>
        <n v="0.70966515586"/>
        <n v="0.740993315053"/>
        <n v="0.679441002374"/>
        <n v="0.771548710233"/>
        <n v="0.699382083873"/>
        <n v="0.708081650386"/>
        <n v="0.647373348101"/>
        <n v="0.701439568766"/>
        <n v="0.693622556747"/>
        <n v="0.723880901662"/>
        <n v="0.695604074176"/>
        <n v="0.744956728093"/>
        <n v="0.779265283986"/>
        <n v="0.705854726699"/>
        <n v="0.695150476303"/>
        <n v="0.748416730219"/>
        <n v="0.656834559916"/>
        <n v="0.73128276358"/>
        <n v="0.693317089497"/>
        <n v="0.758121777631"/>
        <n v="0.619471656385"/>
        <n v="0.674382651852"/>
        <n v="0.72531396199"/>
        <n v="0.726436663273"/>
        <n v="0.733835397425"/>
        <n v="0.704606499004"/>
        <n v="0.678205970035"/>
        <n v="0.691747787355"/>
        <n v="0.855419391537"/>
        <n v="0.808579686308"/>
        <n v="0.740594726971"/>
        <n v="0.728952428293"/>
        <n v="0.704013366559"/>
        <n v="0.803220269012"/>
        <n v="0.652340494786"/>
        <n v="0.740311603"/>
        <n v="0.69927314713"/>
        <n v="0.727766676846"/>
        <n v="0.754449759574"/>
        <n v="0.765528191614"/>
        <n v="0.715207078509"/>
        <n v="0.762675140463"/>
        <n v="0.745659279315"/>
        <n v="0.781845057074"/>
        <n v="0.659461726582"/>
        <n v="0.633600791771"/>
        <n v="0.740872822137"/>
        <n v="0.71418883766"/>
        <n v="0.681254022624"/>
        <n v="0.696085214136"/>
        <n v="0.695937563285"/>
        <n v="0.715526817673"/>
        <n v="0.663144919632"/>
        <n v="0.567283814949"/>
        <n v="0.627755841573"/>
        <n v="0.755571002902"/>
        <n v="0.652542331848"/>
        <n v="0.816901654407"/>
        <n v="0.645685819722"/>
        <n v="0.727888480248"/>
        <n v="0.651007799218"/>
        <n v="0.718524824699"/>
        <n v="0.71293189361"/>
        <n v="0.666765409807"/>
        <n v="0.712133157005"/>
        <n v="0.738210515214"/>
        <n v="0.643974996491"/>
        <n v="0.702085718813"/>
        <n v="0.71813265249"/>
        <n v="0.577215014698"/>
        <n v="0.796176897285"/>
        <n v="0.687889850803"/>
        <n v="0.63929057166"/>
        <n v="0.620134840634"/>
        <n v="0.637375105062"/>
        <n v="0.753184789942"/>
        <n v="0.718051621732"/>
        <n v="0.651400396436"/>
        <n v="0.741701066653"/>
        <n v="0.76145874631"/>
        <n v="0.788108661987"/>
        <n v="0.719351223352"/>
        <n v="0.708932414465"/>
        <n v="0.671765762616"/>
        <n v="0.692670303867"/>
        <n v="0.489396989776"/>
        <n v="0.639929587649"/>
        <n v="0.614912213651"/>
        <n v="0.670031866692"/>
        <n v="0.661790782442"/>
        <n v="0.647536376294"/>
        <n v="0.739723592024"/>
        <n v="0.758505650206"/>
        <n v="0.68919338676"/>
        <n v="0.708993109779"/>
        <n v="0.681414340251"/>
        <n v="0.491013622277"/>
        <n v="0.664930579763"/>
        <n v="0.746030716338"/>
        <n v="0.707491533095"/>
        <n v="0.732937512019"/>
        <n v="0.649415136901"/>
        <n v="0.601662859752"/>
        <n v="0.67557198546"/>
        <n v="0.727864291523"/>
        <n v="0.694548988546"/>
        <n v="0.735132900379"/>
        <n v="0.647708509943"/>
        <n v="0.711006786685"/>
        <n v="0.657846478839"/>
        <n v="0.678504573376"/>
        <n v="0.639529351226"/>
        <n v="0.68700498774"/>
        <n v="0.688632970311"/>
        <n v="0.688591574118"/>
        <n v="0.669555936999"/>
        <n v="0.771312693402"/>
        <n v="0.723174031601"/>
        <n v="0.704367977026"/>
        <n v="0.73894695387"/>
        <n v="0.6570006322"/>
        <n v="0.773446284849"/>
        <n v="0.687307339655"/>
        <n v="0.727820780192"/>
        <n v="0.728647602486"/>
        <n v="0.661381872484"/>
        <n v="0.805385269082"/>
        <n v="0.83156147914"/>
        <n v="0.676452193534"/>
        <n v="0.650758591042"/>
        <n v="0.720406654189"/>
        <n v="0.642805123675"/>
        <n v="0.722371093522"/>
        <n v="0.762919501734"/>
        <n v="0.765285361324"/>
        <n v="0.731671101588"/>
        <n v="0.765161035789"/>
        <n v="0.74688527353"/>
        <n v="0.614842886629"/>
        <n v="0.729410039247"/>
        <n v="0.706781803229"/>
        <n v="0.724782699676"/>
        <n v="0.586981061483"/>
        <n v="0.781688480293"/>
        <n v="0.780550132024"/>
        <n v="0.706773512576"/>
        <n v="0.722324066606"/>
        <n v="0.759702965265"/>
        <n v="0.752554892575"/>
        <n v="0.749212172449"/>
        <n v="0.73729502847"/>
        <n v="0.696602954397"/>
        <n v="0.689137107063"/>
        <n v="0.682728036796"/>
        <n v="0.822803467378"/>
        <n v="0.684618913386"/>
        <n v="0.701399178784"/>
        <n v="0.556709540243"/>
        <n v="0.715066823263"/>
        <n v="0.757951990864"/>
        <n v="0.689589416936"/>
        <n v="0.783554598815"/>
        <n v="0.594950783801"/>
        <n v="0.607701300304"/>
        <n v="0.778875416805"/>
        <n v="0.699106477181"/>
        <n v="0.70813173845"/>
        <n v="0.706123070613"/>
        <n v="0.648602073256"/>
        <n v="0.627451899336"/>
        <n v="0.707248759392"/>
        <n v="0.772283177444"/>
        <n v="0.685575259109"/>
        <n v="0.767842647605"/>
        <n v="0.719714680461"/>
        <n v="0.712763958313"/>
        <n v="0.705323130644"/>
        <n v="0.675175669321"/>
        <n v="0.643287729237"/>
        <n v="0.719604506598"/>
        <n v="0.745078886347"/>
        <n v="0.575619929683"/>
        <n v="0.758224724635"/>
        <n v="0.729766742761"/>
        <n v="0.77428929523"/>
        <n v="0.695057079051"/>
        <n v="0.580139896439"/>
        <n v="0.573675307571"/>
        <n v="0.718044835919"/>
        <n v="0.686455797305"/>
        <n v="0.680103177679"/>
        <n v="0.666899143154"/>
        <n v="0.705433908157"/>
        <n v="0.679952094243"/>
        <n v="0.680139336466"/>
        <n v="0.643706034614"/>
        <n v="0.669993536278"/>
        <n v="0.776093576971"/>
        <n v="0.735757855058"/>
        <n v="0.754706776931"/>
        <n v="0.771301243697"/>
        <n v="0.722144718047"/>
        <n v="0.688077047985"/>
        <n v="0.685644776614"/>
        <n v="0.726868390232"/>
        <n v="0.728853471267"/>
        <n v="0.631927461027"/>
        <n v="0.658339688451"/>
        <n v="0.735688089044"/>
        <n v="0.703498485532"/>
        <n v="0.687753725786"/>
        <n v="0.745855850698"/>
        <n v="0.637001476845"/>
        <n v="0.650432869076"/>
        <n v="0.746383318339"/>
        <n v="0.72109091941"/>
        <n v="0.681039522839"/>
        <n v="0.654511992535"/>
        <n v="0.656110750577"/>
        <n v="0.599891038421"/>
        <n v="0.579126777132"/>
        <n v="0.688418513125"/>
        <n v="0.702633918072"/>
        <n v="0.683480140702"/>
        <n v="0.741139137273"/>
        <n v="0.652567241307"/>
        <n v="0.768792434456"/>
        <n v="0.734696278137"/>
        <n v="0.673982670567"/>
        <n v="0.720695956034"/>
        <n v="0.597870611732"/>
        <n v="0.702813430817"/>
        <n v="0.716810631054"/>
        <n v="0.72878694989"/>
        <n v="0.645880243736"/>
        <n v="0.711416580693"/>
        <n v="0.635012269853"/>
        <n v="0.71514769819"/>
        <n v="0.676000403622"/>
        <n v="0.68131569612"/>
        <n v="0.671707908508"/>
        <n v="0.66462592585"/>
        <n v="0.638785313557"/>
        <n v="0.749367614236"/>
        <n v="0.739210423265"/>
        <n v="0.601867024288"/>
        <n v="0.718419320667"/>
        <n v="0.652962082913"/>
        <m/>
      </sharedItems>
    </cacheField>
    <cacheField name="Release Dates" numFmtId="167">
      <sharedItems containsDate="1" containsString="0" containsBlank="1">
        <d v="2012-01-26T00:00:00Z"/>
        <d v="2012-02-12T00:00:00Z"/>
        <d v="2012-02-22T00:00:00Z"/>
        <d v="2012-02-25T00:00:00Z"/>
        <d v="2012-03-01T00:00:00Z"/>
        <d v="2012-03-05T00:00:00Z"/>
        <d v="2012-03-27T00:00:00Z"/>
        <d v="2012-03-28T00:00:00Z"/>
        <d v="2012-03-30T00:00:00Z"/>
        <d v="2012-04-01T00:00:00Z"/>
        <d v="2012-04-04T00:00:00Z"/>
        <d v="2012-04-05T00:00:00Z"/>
        <d v="2012-04-10T00:00:00Z"/>
        <d v="2012-04-13T00:00:00Z"/>
        <d v="2012-04-19T00:00:00Z"/>
        <d v="2012-05-04T00:00:00Z"/>
        <d v="2012-05-10T00:00:00Z"/>
        <d v="2012-05-22T00:00:00Z"/>
        <d v="2012-05-30T00:00:00Z"/>
        <d v="2012-06-16T00:00:00Z"/>
        <d v="2012-08-10T00:00:00Z"/>
        <d v="2012-08-17T00:00:00Z"/>
        <d v="2012-08-29T00:00:00Z"/>
        <d v="2012-09-02T00:00:00Z"/>
        <d v="2012-09-26T00:00:00Z"/>
        <d v="2012-09-27T00:00:00Z"/>
        <d v="2012-10-31T00:00:00Z"/>
        <d v="2012-11-06T00:00:00Z"/>
        <d v="2013-01-10T00:00:00Z"/>
        <d v="2013-03-22T00:00:00Z"/>
        <d v="2013-02-08T00:00:00Z"/>
        <d v="2013-03-29T00:00:00Z"/>
        <d v="2013-05-28T00:00:00Z"/>
        <d v="2013-06-08T00:00:00Z"/>
        <d v="2013-06-10T00:00:00Z"/>
        <d v="2013-07-30T00:00:00Z"/>
        <d v="2013-09-07T00:00:00Z"/>
        <d v="2013-10-14T00:00:00Z"/>
        <d v="2013-12-11T00:00:00Z"/>
        <d v="2014-01-19T00:00:00Z"/>
        <d v="2014-04-15T00:00:00Z"/>
        <d v="2014-06-01T00:00:00Z"/>
        <d v="2014-11-09T00:00:00Z"/>
        <d v="2015-02-04T00:00:00Z"/>
        <d v="2015-02-06T00:00:00Z"/>
        <d v="2015-03-14T00:00:00Z"/>
        <d v="2015-03-24T00:00:00Z"/>
        <d v="2015-06-09T00:00:00Z"/>
        <d v="2015-06-11T00:00:00Z"/>
        <d v="2015-06-23T00:00:00Z"/>
        <d v="2015-07-01T00:00:00Z"/>
        <d v="2015-08-30T00:00:00Z"/>
        <d v="2016-04-05T00:00:00Z"/>
        <d v="2015-12-21T00:00:00Z"/>
        <d v="2016-02-12T00:00:00Z"/>
        <d v="2016-03-16T00:00:00Z"/>
        <d v="2016-03-22T00:00:00Z"/>
        <d v="2016-03-25T00:00:00Z"/>
        <d v="2016-04-01T00:00:00Z"/>
        <d v="2016-04-27T00:00:00Z"/>
        <d v="2016-08-23T00:00:00Z"/>
        <d v="2016-09-20T00:00:00Z"/>
        <d v="2016-10-03T00:00:00Z"/>
        <d v="2017-01-21T00:00:00Z"/>
        <d v="2017-01-24T00:00:00Z"/>
        <d v="2017-01-25T00:00:00Z"/>
        <d v="2017-02-03T00:00:00Z"/>
        <d v="2017-03-03T00:00:00Z"/>
        <d v="2017-03-17T00:00:00Z"/>
        <d v="2017-04-20T00:00:00Z"/>
        <d v="2017-04-28T00:00:00Z"/>
        <d v="2017-05-11T00:00:00Z"/>
        <d v="2017-07-04T00:00:00Z"/>
        <d v="2017-08-30T00:00:00Z"/>
        <d v="2017-11-21T00:00:00Z"/>
        <d v="2018-01-03T00:00:00Z"/>
        <d v="2018-02-07T00:00:00Z"/>
        <d v="2018-02-27T00:00:00Z"/>
        <d v="2018-03-14T00:00:00Z"/>
        <m/>
      </sharedItems>
    </cacheField>
    <cacheField name="Pivot dates" numFmtId="165">
      <sharedItems containsBlank="1"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m/>
      </sharedItems>
    </cacheField>
    <cacheField name="Pivot release dates" numFmtId="0">
      <sharedItems containsBlank="1">
        <s v="2012-01"/>
        <s v="2012-02"/>
        <s v="2012-03"/>
        <s v="2012-04"/>
        <s v="2012-05"/>
        <s v="2012-06"/>
        <s v="2012-08"/>
        <s v="2012-09"/>
        <s v="2012-10"/>
        <s v="2012-11"/>
        <s v="2013-01"/>
        <s v="2013-03"/>
        <s v="2013-02"/>
        <s v="2013-05"/>
        <s v="2013-06"/>
        <s v="2013-07"/>
        <s v="2013-09"/>
        <s v="2013-10"/>
        <s v="2013-12"/>
        <s v="2014-01"/>
        <s v="2014-04"/>
        <s v="2014-06"/>
        <s v="2014-11"/>
        <s v="2015-02"/>
        <s v="2015-03"/>
        <s v="2015-06"/>
        <s v="2015-07"/>
        <s v="2015-08"/>
        <s v="2016-04"/>
        <s v="2015-12"/>
        <s v="2016-02"/>
        <s v="2016-03"/>
        <s v="2016-08"/>
        <s v="2016-09"/>
        <s v="2016-10"/>
        <s v="2017-01"/>
        <s v="2017-02"/>
        <s v="2017-03"/>
        <s v="2017-04"/>
        <s v="2017-05"/>
        <s v="2017-07"/>
        <s v="2017-08"/>
        <s v="2017-11"/>
        <s v="2018-01"/>
        <s v="2018-02"/>
        <s v="2018-03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L93:AO805" sheet="Raw"/>
  </cacheSource>
  <cacheFields>
    <cacheField name="Date" numFmtId="167">
      <sharedItems containsSemiMixedTypes="0" containsDate="1" containsString="0">
        <d v="2010-09-17T00:00:00Z"/>
        <d v="2010-09-18T00:00:00Z"/>
        <d v="2010-09-24T00:00:00Z"/>
        <d v="2010-09-25T00:00:00Z"/>
        <d v="2010-10-01T00:00:00Z"/>
        <d v="2010-10-02T00:00:00Z"/>
        <d v="2010-10-08T00:00:00Z"/>
        <d v="2010-10-09T00:00:00Z"/>
        <d v="2010-10-15T00:00:00Z"/>
        <d v="2010-10-16T00:00:00Z"/>
        <d v="2010-10-22T00:00:00Z"/>
        <d v="2010-10-23T00:00:00Z"/>
        <d v="2010-10-29T00:00:00Z"/>
        <d v="2010-10-30T00:00:00Z"/>
        <d v="2010-11-05T00:00:00Z"/>
        <d v="2010-11-06T00:00:00Z"/>
        <d v="2010-11-12T00:00:00Z"/>
        <d v="2010-11-13T00:00:00Z"/>
        <d v="2010-11-19T00:00:00Z"/>
        <d v="2010-11-20T00:00:00Z"/>
        <d v="2010-11-25T00:00:00Z"/>
        <d v="2010-11-26T00:00:00Z"/>
        <d v="2010-12-03T00:00:00Z"/>
        <d v="2010-12-04T00:00:00Z"/>
        <d v="2010-12-10T00:00:00Z"/>
        <d v="2010-12-17T00:00:00Z"/>
        <d v="2010-12-18T00:00:00Z"/>
        <d v="2010-12-23T00:00:00Z"/>
        <d v="2010-12-24T00:00:00Z"/>
        <d v="2010-12-25T00:00:00Z"/>
        <d v="2010-12-30T00:00:00Z"/>
        <d v="2010-12-31T00:00:00Z"/>
        <d v="2011-01-07T00:00:00Z"/>
        <d v="2011-01-08T00:00:00Z"/>
        <d v="2011-01-14T00:00:00Z"/>
        <d v="2011-01-15T00:00:00Z"/>
        <d v="2011-01-21T00:00:00Z"/>
        <d v="2011-01-22T00:00:00Z"/>
        <d v="2011-01-28T00:00:00Z"/>
        <d v="2011-01-29T00:00:00Z"/>
        <d v="2011-02-04T00:00:00Z"/>
        <d v="2011-02-05T00:00:00Z"/>
        <d v="2011-02-11T00:00:00Z"/>
        <d v="2011-02-18T00:00:00Z"/>
        <d v="2011-02-25T00:00:00Z"/>
        <d v="2011-03-04T00:00:00Z"/>
        <d v="2011-03-05T00:00:00Z"/>
        <d v="2011-03-11T00:00:00Z"/>
        <d v="2011-03-12T00:00:00Z"/>
        <d v="2011-03-18T00:00:00Z"/>
        <d v="2011-03-19T00:00:00Z"/>
        <d v="2011-03-25T00:00:00Z"/>
        <d v="2011-03-26T00:00:00Z"/>
        <d v="2011-04-01T00:00:00Z"/>
        <d v="2011-04-02T00:00:00Z"/>
        <d v="2011-04-08T00:00:00Z"/>
        <d v="2011-04-09T00:00:00Z"/>
        <d v="2011-04-15T00:00:00Z"/>
        <d v="2011-04-16T00:00:00Z"/>
        <d v="2011-04-22T00:00:00Z"/>
        <d v="2011-04-23T00:00:00Z"/>
        <d v="2011-04-29T00:00:00Z"/>
        <d v="2011-04-30T00:00:00Z"/>
        <d v="2011-05-06T00:00:00Z"/>
        <d v="2011-05-07T00:00:00Z"/>
        <d v="2011-05-13T00:00:00Z"/>
        <d v="2011-05-14T00:00:00Z"/>
        <d v="2011-05-20T00:00:00Z"/>
        <d v="2011-05-27T00:00:00Z"/>
        <d v="2011-05-28T00:00:00Z"/>
        <d v="2011-06-03T00:00:00Z"/>
        <d v="2011-06-04T00:00:00Z"/>
        <d v="2011-06-10T00:00:00Z"/>
        <d v="2011-06-17T00:00:00Z"/>
        <d v="2011-06-24T00:00:00Z"/>
        <d v="2011-07-01T00:00:00Z"/>
        <d v="2011-07-02T00:00:00Z"/>
        <d v="2011-07-08T00:00:00Z"/>
        <d v="2011-07-09T00:00:00Z"/>
        <d v="2011-07-15T00:00:00Z"/>
        <d v="2011-07-22T00:00:00Z"/>
        <d v="2011-07-23T00:00:00Z"/>
        <d v="2011-07-29T00:00:00Z"/>
        <d v="2011-08-05T00:00:00Z"/>
        <d v="2011-08-06T00:00:00Z"/>
        <d v="2011-08-12T00:00:00Z"/>
        <d v="2011-08-13T00:00:00Z"/>
        <d v="2011-08-19T00:00:00Z"/>
        <d v="2011-08-20T00:00:00Z"/>
        <d v="2011-08-26T00:00:00Z"/>
        <d v="2011-08-27T00:00:00Z"/>
        <d v="2011-09-02T00:00:00Z"/>
        <d v="2011-09-03T00:00:00Z"/>
        <d v="2011-09-09T00:00:00Z"/>
        <d v="2011-09-16T00:00:00Z"/>
        <d v="2011-09-23T00:00:00Z"/>
        <d v="2011-09-24T00:00:00Z"/>
        <d v="2011-09-30T00:00:00Z"/>
        <d v="2011-10-01T00:00:00Z"/>
        <d v="2011-10-07T00:00:00Z"/>
        <d v="2011-10-13T00:00:00Z"/>
        <d v="2011-10-14T00:00:00Z"/>
        <d v="2011-10-15T00:00:00Z"/>
        <d v="2011-10-21T00:00:00Z"/>
        <d v="2011-10-22T00:00:00Z"/>
        <d v="2011-10-28T00:00:00Z"/>
        <d v="2011-10-29T00:00:00Z"/>
        <d v="2011-11-04T00:00:00Z"/>
        <d v="2011-11-05T00:00:00Z"/>
        <d v="2011-11-11T00:00:00Z"/>
        <d v="2011-11-12T00:00:00Z"/>
        <d v="2011-11-18T00:00:00Z"/>
        <d v="2011-11-19T00:00:00Z"/>
        <d v="2011-11-25T00:00:00Z"/>
        <d v="2011-11-26T00:00:00Z"/>
        <d v="2011-12-02T00:00:00Z"/>
        <d v="2011-12-03T00:00:00Z"/>
        <d v="2011-12-09T00:00:00Z"/>
        <d v="2011-12-16T00:00:00Z"/>
        <d v="2011-12-17T00:00:00Z"/>
        <d v="2011-12-22T00:00:00Z"/>
        <d v="2011-12-23T00:00:00Z"/>
        <d v="2011-12-24T00:00:00Z"/>
        <d v="2011-12-29T00:00:00Z"/>
        <d v="2011-12-30T00:00:00Z"/>
        <d v="2011-12-31T00:00:00Z"/>
        <d v="2012-01-06T00:00:00Z"/>
        <d v="2012-01-13T00:00:00Z"/>
        <d v="2012-01-20T00:00:00Z"/>
        <d v="2012-01-27T00:00:00Z"/>
        <d v="2012-02-03T00:00:00Z"/>
        <d v="2012-02-10T00:00:00Z"/>
        <d v="2012-02-17T00:00:00Z"/>
        <d v="2012-02-18T00:00:00Z"/>
        <d v="2012-02-24T00:00:00Z"/>
        <d v="2012-02-25T00:00:00Z"/>
        <d v="2012-03-02T00:00:00Z"/>
        <d v="2012-03-09T00:00:00Z"/>
        <d v="2012-03-16T00:00:00Z"/>
        <d v="2012-03-23T00:00:00Z"/>
        <d v="2012-03-24T00:00:00Z"/>
        <d v="2012-03-30T00:00:00Z"/>
        <d v="2012-03-31T00:00:00Z"/>
        <d v="2012-04-06T00:00:00Z"/>
        <d v="2012-04-13T00:00:00Z"/>
        <d v="2012-04-14T00:00:00Z"/>
        <d v="2012-04-20T00:00:00Z"/>
        <d v="2012-04-21T00:00:00Z"/>
        <d v="2012-04-27T00:00:00Z"/>
        <d v="2012-04-28T00:00:00Z"/>
        <d v="2012-05-04T00:00:00Z"/>
        <d v="2012-05-05T00:00:00Z"/>
        <d v="2012-05-11T00:00:00Z"/>
        <d v="2012-05-18T00:00:00Z"/>
        <d v="2012-05-19T00:00:00Z"/>
        <d v="2012-05-25T00:00:00Z"/>
        <d v="2012-05-26T00:00:00Z"/>
        <d v="2012-06-01T00:00:00Z"/>
        <d v="2012-06-02T00:00:00Z"/>
        <d v="2012-06-08T00:00:00Z"/>
        <d v="2012-06-09T00:00:00Z"/>
        <d v="2012-06-15T00:00:00Z"/>
        <d v="2012-06-16T00:00:00Z"/>
        <d v="2012-06-22T00:00:00Z"/>
        <d v="2012-06-23T00:00:00Z"/>
        <d v="2012-06-29T00:00:00Z"/>
        <d v="2012-06-30T00:00:00Z"/>
        <d v="2012-07-06T00:00:00Z"/>
        <d v="2012-07-07T00:00:00Z"/>
        <d v="2012-07-13T00:00:00Z"/>
        <d v="2012-07-14T00:00:00Z"/>
        <d v="2012-07-20T00:00:00Z"/>
        <d v="2012-07-21T00:00:00Z"/>
        <d v="2012-07-27T00:00:00Z"/>
        <d v="2012-07-28T00:00:00Z"/>
        <d v="2012-08-03T00:00:00Z"/>
        <d v="2012-08-04T00:00:00Z"/>
        <d v="2012-08-10T00:00:00Z"/>
        <d v="2012-08-11T00:00:00Z"/>
        <d v="2012-08-17T00:00:00Z"/>
        <d v="2012-08-24T00:00:00Z"/>
        <d v="2012-08-25T00:00:00Z"/>
        <d v="2012-08-31T00:00:00Z"/>
        <d v="2012-09-01T00:00:00Z"/>
        <d v="2012-09-07T00:00:00Z"/>
        <d v="2012-09-08T00:00:00Z"/>
        <d v="2012-09-14T00:00:00Z"/>
        <d v="2012-09-15T00:00:00Z"/>
        <d v="2012-09-21T00:00:00Z"/>
        <d v="2012-09-22T00:00:00Z"/>
        <d v="2012-09-29T00:00:00Z"/>
        <d v="2012-10-05T00:00:00Z"/>
        <d v="2012-10-06T00:00:00Z"/>
        <d v="2012-10-12T00:00:00Z"/>
        <d v="2012-10-13T00:00:00Z"/>
        <d v="2012-10-19T00:00:00Z"/>
        <d v="2012-10-20T00:00:00Z"/>
        <d v="2012-10-26T00:00:00Z"/>
        <d v="2012-10-27T00:00:00Z"/>
        <d v="2012-11-02T00:00:00Z"/>
        <d v="2012-11-03T00:00:00Z"/>
        <d v="2012-11-09T00:00:00Z"/>
        <d v="2012-11-10T00:00:00Z"/>
        <d v="2012-11-16T00:00:00Z"/>
        <d v="2012-11-23T00:00:00Z"/>
        <d v="2012-11-24T00:00:00Z"/>
        <d v="2012-11-30T00:00:00Z"/>
        <d v="2012-12-01T00:00:00Z"/>
        <d v="2012-12-07T00:00:00Z"/>
        <d v="2012-12-08T00:00:00Z"/>
        <d v="2012-12-14T00:00:00Z"/>
        <d v="2012-12-21T00:00:00Z"/>
        <d v="2012-12-22T00:00:00Z"/>
        <d v="2012-12-28T00:00:00Z"/>
        <d v="2012-12-29T00:00:00Z"/>
        <d v="2013-01-04T00:00:00Z"/>
        <d v="2013-01-11T00:00:00Z"/>
        <d v="2013-01-12T00:00:00Z"/>
        <d v="2013-01-18T00:00:00Z"/>
        <d v="2013-01-25T00:00:00Z"/>
        <d v="2013-02-01T00:00:00Z"/>
        <d v="2013-02-02T00:00:00Z"/>
        <d v="2013-02-08T00:00:00Z"/>
        <d v="2013-02-09T00:00:00Z"/>
        <d v="2013-02-15T00:00:00Z"/>
        <d v="2013-02-16T00:00:00Z"/>
        <d v="2013-02-22T00:00:00Z"/>
        <d v="2013-03-01T00:00:00Z"/>
        <d v="2013-03-02T00:00:00Z"/>
        <d v="2013-03-08T00:00:00Z"/>
        <d v="2013-03-09T00:00:00Z"/>
        <d v="2013-03-15T00:00:00Z"/>
        <d v="2013-03-16T00:00:00Z"/>
        <d v="2013-03-22T00:00:00Z"/>
        <d v="2013-03-23T00:00:00Z"/>
        <d v="2013-03-29T00:00:00Z"/>
        <d v="2013-03-30T00:00:00Z"/>
        <d v="2013-04-05T00:00:00Z"/>
        <d v="2013-04-06T00:00:00Z"/>
        <d v="2013-04-12T00:00:00Z"/>
        <d v="2013-04-13T00:00:00Z"/>
        <d v="2013-04-19T00:00:00Z"/>
        <d v="2013-04-20T00:00:00Z"/>
        <d v="2013-04-26T00:00:00Z"/>
        <d v="2013-04-27T00:00:00Z"/>
        <d v="2013-05-03T00:00:00Z"/>
        <d v="2013-05-04T00:00:00Z"/>
        <d v="2013-05-10T00:00:00Z"/>
        <d v="2013-05-17T00:00:00Z"/>
        <d v="2013-05-18T00:00:00Z"/>
        <d v="2013-05-24T00:00:00Z"/>
        <d v="2013-05-25T00:00:00Z"/>
        <d v="2013-05-31T00:00:00Z"/>
        <d v="2013-06-01T00:00:00Z"/>
        <d v="2013-06-07T00:00:00Z"/>
        <d v="2013-06-14T00:00:00Z"/>
        <d v="2013-06-15T00:00:00Z"/>
        <d v="2013-06-21T00:00:00Z"/>
        <d v="2013-06-22T00:00:00Z"/>
        <d v="2013-06-28T00:00:00Z"/>
        <d v="2013-06-29T00:00:00Z"/>
        <d v="2013-07-04T00:00:00Z"/>
        <d v="2013-07-05T00:00:00Z"/>
        <d v="2013-07-06T00:00:00Z"/>
        <d v="2013-07-11T00:00:00Z"/>
        <d v="2013-07-12T00:00:00Z"/>
        <d v="2013-07-13T00:00:00Z"/>
        <d v="2013-07-18T00:00:00Z"/>
        <d v="2013-07-19T00:00:00Z"/>
        <d v="2013-07-20T00:00:00Z"/>
        <d v="2013-07-26T00:00:00Z"/>
        <d v="2013-07-27T00:00:00Z"/>
        <d v="2013-08-02T00:00:00Z"/>
        <d v="2013-08-03T00:00:00Z"/>
        <d v="2013-08-09T00:00:00Z"/>
        <d v="2013-08-10T00:00:00Z"/>
        <d v="2013-08-16T00:00:00Z"/>
        <d v="2013-08-17T00:00:00Z"/>
        <d v="2013-08-23T00:00:00Z"/>
        <d v="2013-08-30T00:00:00Z"/>
        <d v="2013-08-31T00:00:00Z"/>
        <d v="2013-09-06T00:00:00Z"/>
        <d v="2013-09-07T00:00:00Z"/>
        <d v="2013-09-13T00:00:00Z"/>
        <d v="2013-09-14T00:00:00Z"/>
        <d v="2013-09-20T00:00:00Z"/>
        <d v="2013-09-21T00:00:00Z"/>
        <d v="2013-09-27T00:00:00Z"/>
        <d v="2013-10-04T00:00:00Z"/>
        <d v="2013-10-11T00:00:00Z"/>
        <d v="2013-10-12T00:00:00Z"/>
        <d v="2013-10-18T00:00:00Z"/>
        <d v="2013-10-19T00:00:00Z"/>
        <d v="2013-10-25T00:00:00Z"/>
        <d v="2013-10-26T00:00:00Z"/>
        <d v="2013-11-01T00:00:00Z"/>
        <d v="2013-11-02T00:00:00Z"/>
        <d v="2013-11-08T00:00:00Z"/>
        <d v="2013-11-15T00:00:00Z"/>
        <d v="2013-11-22T00:00:00Z"/>
        <d v="2013-11-29T00:00:00Z"/>
        <d v="2013-12-06T00:00:00Z"/>
        <d v="2013-12-13T00:00:00Z"/>
        <d v="2013-12-14T00:00:00Z"/>
        <d v="2013-12-20T00:00:00Z"/>
        <d v="2013-12-21T00:00:00Z"/>
        <d v="2013-12-27T00:00:00Z"/>
        <d v="2014-01-03T00:00:00Z"/>
        <d v="2014-01-04T00:00:00Z"/>
        <d v="2014-01-10T00:00:00Z"/>
        <d v="2014-01-11T00:00:00Z"/>
        <d v="2014-01-17T00:00:00Z"/>
        <d v="2014-01-24T00:00:00Z"/>
        <d v="2014-01-25T00:00:00Z"/>
        <d v="2014-01-31T00:00:00Z"/>
        <d v="2014-02-07T00:00:00Z"/>
        <d v="2014-02-08T00:00:00Z"/>
        <d v="2014-02-14T00:00:00Z"/>
        <d v="2014-02-21T00:00:00Z"/>
        <d v="2014-02-22T00:00:00Z"/>
        <d v="2014-02-28T00:00:00Z"/>
        <d v="2014-03-07T00:00:00Z"/>
        <d v="2014-03-08T00:00:00Z"/>
        <d v="2014-03-14T00:00:00Z"/>
        <d v="2014-03-15T00:00:00Z"/>
        <d v="2014-03-21T00:00:00Z"/>
        <d v="2014-03-28T00:00:00Z"/>
        <d v="2014-04-04T00:00:00Z"/>
        <d v="2014-04-05T00:00:00Z"/>
        <d v="2014-04-11T00:00:00Z"/>
        <d v="2014-04-12T00:00:00Z"/>
        <d v="2014-04-18T00:00:00Z"/>
        <d v="2014-04-19T00:00:00Z"/>
        <d v="2014-04-25T00:00:00Z"/>
        <d v="2014-04-26T00:00:00Z"/>
        <d v="2014-05-02T00:00:00Z"/>
        <d v="2014-05-03T00:00:00Z"/>
        <d v="2014-05-09T00:00:00Z"/>
        <d v="2014-05-10T00:00:00Z"/>
        <d v="2014-05-16T00:00:00Z"/>
        <d v="2014-05-17T00:00:00Z"/>
        <d v="2014-05-23T00:00:00Z"/>
        <d v="2014-05-24T00:00:00Z"/>
        <d v="2014-05-30T00:00:00Z"/>
        <d v="2014-05-31T00:00:00Z"/>
        <d v="2014-06-06T00:00:00Z"/>
        <d v="2014-06-07T00:00:00Z"/>
        <d v="2014-06-13T00:00:00Z"/>
        <d v="2014-06-14T00:00:00Z"/>
        <d v="2014-06-20T00:00:00Z"/>
        <d v="2014-06-21T00:00:00Z"/>
        <d v="2014-06-27T00:00:00Z"/>
        <d v="2014-06-28T00:00:00Z"/>
        <d v="2014-07-04T00:00:00Z"/>
        <d v="2014-07-05T00:00:00Z"/>
        <d v="2014-07-11T00:00:00Z"/>
        <d v="2014-07-12T00:00:00Z"/>
        <d v="2014-07-18T00:00:00Z"/>
        <d v="2014-07-19T00:00:00Z"/>
        <d v="2014-07-25T00:00:00Z"/>
        <d v="2014-07-26T00:00:00Z"/>
        <d v="2014-08-01T00:00:00Z"/>
        <d v="2014-08-02T00:00:00Z"/>
        <d v="2014-08-08T00:00:00Z"/>
        <d v="2014-08-09T00:00:00Z"/>
        <d v="2014-08-15T00:00:00Z"/>
        <d v="2014-08-16T00:00:00Z"/>
        <d v="2014-08-22T00:00:00Z"/>
        <d v="2014-08-23T00:00:00Z"/>
        <d v="2014-08-29T00:00:00Z"/>
        <d v="2014-08-30T00:00:00Z"/>
        <d v="2014-09-05T00:00:00Z"/>
        <d v="2014-09-06T00:00:00Z"/>
        <d v="2014-09-12T00:00:00Z"/>
        <d v="2014-09-13T00:00:00Z"/>
        <d v="2014-09-19T00:00:00Z"/>
        <d v="2014-09-20T00:00:00Z"/>
        <d v="2014-09-26T00:00:00Z"/>
        <d v="2014-09-27T00:00:00Z"/>
        <d v="2014-10-03T00:00:00Z"/>
        <d v="2014-10-10T00:00:00Z"/>
        <d v="2014-10-11T00:00:00Z"/>
        <d v="2014-10-17T00:00:00Z"/>
        <d v="2014-10-18T00:00:00Z"/>
        <d v="2014-10-24T00:00:00Z"/>
        <d v="2014-10-25T00:00:00Z"/>
        <d v="2014-10-31T00:00:00Z"/>
        <d v="2014-11-01T00:00:00Z"/>
        <d v="2014-11-07T00:00:00Z"/>
        <d v="2014-11-08T00:00:00Z"/>
        <d v="2014-11-14T00:00:00Z"/>
        <d v="2014-11-15T00:00:00Z"/>
        <d v="2014-11-21T00:00:00Z"/>
        <d v="2014-11-22T00:00:00Z"/>
        <d v="2014-11-28T00:00:00Z"/>
        <d v="2014-11-29T00:00:00Z"/>
        <d v="2014-12-05T00:00:00Z"/>
        <d v="2014-12-06T00:00:00Z"/>
        <d v="2014-12-12T00:00:00Z"/>
        <d v="2014-12-13T00:00:00Z"/>
        <d v="2014-12-19T00:00:00Z"/>
        <d v="2014-12-20T00:00:00Z"/>
        <d v="2014-12-25T00:00:00Z"/>
        <d v="2014-12-26T00:00:00Z"/>
        <d v="2014-12-27T00:00:00Z"/>
        <d v="2015-01-02T00:00:00Z"/>
        <d v="2015-01-03T00:00:00Z"/>
        <d v="2015-01-09T00:00:00Z"/>
        <d v="2015-01-10T00:00:00Z"/>
        <d v="2015-01-16T00:00:00Z"/>
        <d v="2015-01-17T00:00:00Z"/>
        <d v="2015-01-23T00:00:00Z"/>
        <d v="2015-01-24T00:00:00Z"/>
        <d v="2015-01-30T00:00:00Z"/>
        <d v="2015-01-31T00:00:00Z"/>
        <d v="2015-02-06T00:00:00Z"/>
        <d v="2015-02-07T00:00:00Z"/>
        <d v="2015-02-13T00:00:00Z"/>
        <d v="2015-02-20T00:00:00Z"/>
        <d v="2015-02-21T00:00:00Z"/>
        <d v="2015-02-27T00:00:00Z"/>
        <d v="2015-02-28T00:00:00Z"/>
        <d v="2015-03-06T00:00:00Z"/>
        <d v="2015-03-13T00:00:00Z"/>
        <d v="2015-03-14T00:00:00Z"/>
        <d v="2015-03-20T00:00:00Z"/>
        <d v="2015-03-21T00:00:00Z"/>
        <d v="2015-03-27T00:00:00Z"/>
        <d v="2015-03-28T00:00:00Z"/>
        <d v="2015-04-03T00:00:00Z"/>
        <d v="2015-04-04T00:00:00Z"/>
        <d v="2015-04-10T00:00:00Z"/>
        <d v="2015-04-11T00:00:00Z"/>
        <d v="2015-04-17T00:00:00Z"/>
        <d v="2015-04-18T00:00:00Z"/>
        <d v="2015-04-24T00:00:00Z"/>
        <d v="2015-04-25T00:00:00Z"/>
        <d v="2015-05-01T00:00:00Z"/>
        <d v="2015-05-02T00:00:00Z"/>
        <d v="2015-05-08T00:00:00Z"/>
        <d v="2015-05-09T00:00:00Z"/>
        <d v="2015-05-15T00:00:00Z"/>
        <d v="2015-05-22T00:00:00Z"/>
        <d v="2015-05-23T00:00:00Z"/>
        <d v="2015-05-29T00:00:00Z"/>
        <d v="2015-05-30T00:00:00Z"/>
        <d v="2015-06-05T00:00:00Z"/>
        <d v="2015-06-06T00:00:00Z"/>
        <d v="2015-06-12T00:00:00Z"/>
        <d v="2015-06-13T00:00:00Z"/>
        <d v="2015-06-19T00:00:00Z"/>
        <d v="2015-06-26T00:00:00Z"/>
        <d v="2015-06-27T00:00:00Z"/>
        <d v="2015-07-03T00:00:00Z"/>
        <d v="2015-07-10T00:00:00Z"/>
        <d v="2015-07-11T00:00:00Z"/>
        <d v="2015-07-17T00:00:00Z"/>
        <d v="2015-07-18T00:00:00Z"/>
        <d v="2015-07-24T00:00:00Z"/>
        <d v="2015-07-25T00:00:00Z"/>
        <d v="2015-07-31T00:00:00Z"/>
        <d v="2015-08-01T00:00:00Z"/>
        <d v="2015-08-07T00:00:00Z"/>
        <d v="2015-08-08T00:00:00Z"/>
        <d v="2015-08-14T00:00:00Z"/>
        <d v="2015-08-15T00:00:00Z"/>
        <d v="2015-08-21T00:00:00Z"/>
        <d v="2015-08-22T00:00:00Z"/>
        <d v="2015-08-28T00:00:00Z"/>
        <d v="2015-08-29T00:00:00Z"/>
        <d v="2015-09-04T00:00:00Z"/>
        <d v="2015-09-11T00:00:00Z"/>
        <d v="2015-09-18T00:00:00Z"/>
        <d v="2015-09-19T00:00:00Z"/>
        <d v="2015-09-25T00:00:00Z"/>
        <d v="2015-09-26T00:00:00Z"/>
        <d v="2015-10-02T00:00:00Z"/>
        <d v="2015-10-09T00:00:00Z"/>
        <d v="2015-10-16T00:00:00Z"/>
        <d v="2015-10-17T00:00:00Z"/>
        <d v="2015-10-23T00:00:00Z"/>
        <d v="2015-10-24T00:00:00Z"/>
        <d v="2015-10-30T00:00:00Z"/>
        <d v="2015-10-31T00:00:00Z"/>
        <d v="2015-11-06T00:00:00Z"/>
        <d v="2015-11-07T00:00:00Z"/>
        <d v="2015-11-13T00:00:00Z"/>
        <d v="2015-11-14T00:00:00Z"/>
        <d v="2015-11-20T00:00:00Z"/>
        <d v="2015-11-21T00:00:00Z"/>
        <d v="2015-11-27T00:00:00Z"/>
        <d v="2015-11-28T00:00:00Z"/>
        <d v="2015-12-04T00:00:00Z"/>
        <d v="2015-12-05T00:00:00Z"/>
        <d v="2015-12-11T00:00:00Z"/>
        <d v="2015-12-12T00:00:00Z"/>
        <d v="2015-12-18T00:00:00Z"/>
        <d v="2015-12-19T00:00:00Z"/>
        <d v="2015-12-25T00:00:00Z"/>
        <d v="2015-12-26T00:00:00Z"/>
        <d v="2016-01-01T00:00:00Z"/>
        <d v="2016-01-02T00:00:00Z"/>
        <d v="2016-01-08T00:00:00Z"/>
        <d v="2016-01-09T00:00:00Z"/>
        <d v="2016-01-15T00:00:00Z"/>
        <d v="2016-01-16T00:00:00Z"/>
        <d v="2016-01-22T00:00:00Z"/>
        <d v="2016-01-29T00:00:00Z"/>
        <d v="2016-01-30T00:00:00Z"/>
        <d v="2016-02-05T00:00:00Z"/>
        <d v="2016-02-06T00:00:00Z"/>
        <d v="2016-02-12T00:00:00Z"/>
        <d v="2016-02-13T00:00:00Z"/>
        <d v="2016-02-19T00:00:00Z"/>
        <d v="2016-02-20T00:00:00Z"/>
        <d v="2016-02-26T00:00:00Z"/>
        <d v="2016-02-27T00:00:00Z"/>
        <d v="2016-03-04T00:00:00Z"/>
        <d v="2016-03-05T00:00:00Z"/>
        <d v="2016-03-11T00:00:00Z"/>
        <d v="2016-03-12T00:00:00Z"/>
        <d v="2016-03-18T00:00:00Z"/>
        <d v="2016-03-25T00:00:00Z"/>
        <d v="2016-04-01T00:00:00Z"/>
        <d v="2016-04-08T00:00:00Z"/>
        <d v="2016-04-09T00:00:00Z"/>
        <d v="2016-04-15T00:00:00Z"/>
        <d v="2016-04-16T00:00:00Z"/>
        <d v="2016-04-22T00:00:00Z"/>
        <d v="2016-04-29T00:00:00Z"/>
        <d v="2016-04-30T00:00:00Z"/>
        <d v="2016-05-06T00:00:00Z"/>
        <d v="2016-05-07T00:00:00Z"/>
        <d v="2016-05-13T00:00:00Z"/>
        <d v="2016-05-14T00:00:00Z"/>
        <d v="2016-05-20T00:00:00Z"/>
        <d v="2016-05-21T00:00:00Z"/>
        <d v="2016-05-27T00:00:00Z"/>
        <d v="2016-05-28T00:00:00Z"/>
        <d v="2016-06-03T00:00:00Z"/>
        <d v="2016-06-10T00:00:00Z"/>
        <d v="2016-06-11T00:00:00Z"/>
        <d v="2016-06-17T00:00:00Z"/>
        <d v="2016-06-18T00:00:00Z"/>
        <d v="2016-06-24T00:00:00Z"/>
        <d v="2016-06-25T00:00:00Z"/>
        <d v="2016-07-01T00:00:00Z"/>
        <d v="2016-07-08T00:00:00Z"/>
        <d v="2016-07-09T00:00:00Z"/>
        <d v="2016-07-15T00:00:00Z"/>
        <d v="2016-07-16T00:00:00Z"/>
        <d v="2016-07-22T00:00:00Z"/>
        <d v="2016-07-29T00:00:00Z"/>
        <d v="2016-07-30T00:00:00Z"/>
        <d v="2016-08-05T00:00:00Z"/>
        <d v="2016-08-12T00:00:00Z"/>
        <d v="2016-08-13T00:00:00Z"/>
        <d v="2016-08-19T00:00:00Z"/>
        <d v="2016-08-20T00:00:00Z"/>
        <d v="2016-08-26T00:00:00Z"/>
        <d v="2016-08-27T00:00:00Z"/>
        <d v="2016-09-02T00:00:00Z"/>
        <d v="2016-09-09T00:00:00Z"/>
        <d v="2016-09-10T00:00:00Z"/>
        <d v="2016-09-16T00:00:00Z"/>
        <d v="2016-09-17T00:00:00Z"/>
        <d v="2016-09-23T00:00:00Z"/>
        <d v="2016-09-24T00:00:00Z"/>
        <d v="2016-09-30T00:00:00Z"/>
        <d v="2016-10-01T00:00:00Z"/>
        <d v="2016-10-07T00:00:00Z"/>
        <d v="2016-10-14T00:00:00Z"/>
        <d v="2016-10-15T00:00:00Z"/>
        <d v="2016-10-21T00:00:00Z"/>
        <d v="2016-10-22T00:00:00Z"/>
        <d v="2016-10-28T00:00:00Z"/>
        <d v="2016-10-29T00:00:00Z"/>
        <d v="2016-11-04T00:00:00Z"/>
        <d v="2016-11-05T00:00:00Z"/>
        <d v="2016-11-11T00:00:00Z"/>
        <d v="2016-11-12T00:00:00Z"/>
        <d v="2016-11-18T00:00:00Z"/>
        <d v="2016-11-25T00:00:00Z"/>
        <d v="2016-12-02T00:00:00Z"/>
        <d v="2016-12-03T00:00:00Z"/>
        <d v="2016-12-09T00:00:00Z"/>
        <d v="2016-12-16T00:00:00Z"/>
        <d v="2016-12-23T00:00:00Z"/>
        <d v="2016-12-24T00:00:00Z"/>
        <d v="2016-12-30T00:00:00Z"/>
        <d v="2016-12-31T00:00:00Z"/>
        <d v="2017-01-06T00:00:00Z"/>
        <d v="2017-01-07T00:00:00Z"/>
        <d v="2017-01-13T00:00:00Z"/>
        <d v="2017-01-20T00:00:00Z"/>
        <d v="2017-01-21T00:00:00Z"/>
        <d v="2017-01-27T00:00:00Z"/>
        <d v="2017-02-03T00:00:00Z"/>
        <d v="2017-02-04T00:00:00Z"/>
        <d v="2017-02-10T00:00:00Z"/>
        <d v="2017-02-17T00:00:00Z"/>
        <d v="2017-02-18T00:00:00Z"/>
        <d v="2017-02-24T00:00:00Z"/>
        <d v="2017-02-25T00:00:00Z"/>
        <d v="2017-03-03T00:00:00Z"/>
        <d v="2017-03-04T00:00:00Z"/>
        <d v="2017-03-10T00:00:00Z"/>
        <d v="2017-03-11T00:00:00Z"/>
        <d v="2017-03-17T00:00:00Z"/>
        <d v="2017-03-18T00:00:00Z"/>
        <d v="2017-03-24T00:00:00Z"/>
        <d v="2017-03-25T00:00:00Z"/>
        <d v="2017-03-31T00:00:00Z"/>
        <d v="2017-04-01T00:00:00Z"/>
        <d v="2017-04-07T00:00:00Z"/>
        <d v="2017-04-08T00:00:00Z"/>
        <d v="2017-04-14T00:00:00Z"/>
        <d v="2017-04-15T00:00:00Z"/>
        <d v="2017-04-21T00:00:00Z"/>
        <d v="2017-04-22T00:00:00Z"/>
        <d v="2017-04-28T00:00:00Z"/>
        <d v="2017-04-29T00:00:00Z"/>
        <d v="2017-05-05T00:00:00Z"/>
        <d v="2017-05-06T00:00:00Z"/>
        <d v="2017-05-12T00:00:00Z"/>
        <d v="2017-05-13T00:00:00Z"/>
        <d v="2017-05-19T00:00:00Z"/>
        <d v="2017-05-20T00:00:00Z"/>
        <d v="2017-05-26T00:00:00Z"/>
        <d v="2017-06-02T00:00:00Z"/>
        <d v="2017-06-03T00:00:00Z"/>
        <d v="2017-06-09T00:00:00Z"/>
        <d v="2017-06-10T00:00:00Z"/>
        <d v="2017-06-16T00:00:00Z"/>
        <d v="2017-06-17T00:00:00Z"/>
        <d v="2017-06-23T00:00:00Z"/>
        <d v="2017-06-24T00:00:00Z"/>
        <d v="2017-06-30T00:00:00Z"/>
        <d v="2017-07-01T00:00:00Z"/>
        <d v="2017-07-07T00:00:00Z"/>
        <d v="2017-07-08T00:00:00Z"/>
        <d v="2017-07-14T00:00:00Z"/>
        <d v="2017-07-15T00:00:00Z"/>
        <d v="2017-07-21T00:00:00Z"/>
        <d v="2017-07-22T00:00:00Z"/>
        <d v="2017-07-28T00:00:00Z"/>
        <d v="2017-07-29T00:00:00Z"/>
        <d v="2017-08-04T00:00:00Z"/>
        <d v="2017-08-05T00:00:00Z"/>
        <d v="2017-08-11T00:00:00Z"/>
        <d v="2017-08-18T00:00:00Z"/>
        <d v="2017-08-19T00:00:00Z"/>
        <d v="2017-08-25T00:00:00Z"/>
        <d v="2017-08-26T00:00:00Z"/>
        <d v="2017-09-01T00:00:00Z"/>
        <d v="2017-09-08T00:00:00Z"/>
        <d v="2017-09-09T00:00:00Z"/>
        <d v="2017-09-15T00:00:00Z"/>
        <d v="2017-09-22T00:00:00Z"/>
        <d v="2017-09-23T00:00:00Z"/>
        <d v="2017-09-29T00:00:00Z"/>
        <d v="2017-09-30T00:00:00Z"/>
        <d v="2017-10-06T00:00:00Z"/>
        <d v="2017-10-07T00:00:00Z"/>
        <d v="2017-10-13T00:00:00Z"/>
        <d v="2017-10-14T00:00:00Z"/>
        <d v="2017-10-20T00:00:00Z"/>
        <d v="2017-10-21T00:00:00Z"/>
        <d v="2017-10-27T00:00:00Z"/>
        <d v="2017-10-28T00:00:00Z"/>
        <d v="2017-11-03T00:00:00Z"/>
        <d v="2017-11-04T00:00:00Z"/>
        <d v="2017-11-10T00:00:00Z"/>
        <d v="2017-11-17T00:00:00Z"/>
        <d v="2017-11-18T00:00:00Z"/>
        <d v="2017-11-24T00:00:00Z"/>
        <d v="2017-11-25T00:00:00Z"/>
        <d v="2017-12-01T00:00:00Z"/>
        <d v="2017-12-02T00:00:00Z"/>
        <d v="2017-12-08T00:00:00Z"/>
        <d v="2017-12-09T00:00:00Z"/>
        <d v="2017-12-15T00:00:00Z"/>
        <d v="2017-12-16T00:00:00Z"/>
        <d v="2017-12-22T00:00:00Z"/>
        <d v="2017-12-23T00:00:00Z"/>
        <d v="2017-12-29T00:00:00Z"/>
        <d v="2018-01-05T00:00:00Z"/>
        <d v="2018-01-06T00:00:00Z"/>
        <d v="2018-01-12T00:00:00Z"/>
        <d v="2018-01-19T00:00:00Z"/>
        <d v="2018-01-20T00:00:00Z"/>
        <d v="2018-01-26T00:00:00Z"/>
        <d v="2018-01-27T00:00:00Z"/>
        <d v="2018-02-02T00:00:00Z"/>
        <d v="2018-02-09T00:00:00Z"/>
        <d v="2018-02-16T00:00:00Z"/>
        <d v="2018-02-17T00:00:00Z"/>
        <d v="2018-02-23T00:00:00Z"/>
        <d v="2018-03-02T00:00:00Z"/>
        <d v="2018-03-09T00:00:00Z"/>
        <d v="2018-03-10T00:00:00Z"/>
        <d v="2018-03-16T00:00:00Z"/>
        <d v="2018-03-17T00:00:00Z"/>
        <d v="2018-03-23T00:00:00Z"/>
        <d v="2018-03-24T00:00:00Z"/>
        <d v="2018-03-30T00:00:00Z"/>
        <d v="2018-03-31T00:00:00Z"/>
        <d v="2018-04-06T00:00:00Z"/>
        <d v="2018-04-07T00:00:00Z"/>
        <d v="2018-04-13T00:00:00Z"/>
        <d v="2018-04-20T00:00:00Z"/>
        <d v="2018-04-21T00:00:00Z"/>
      </sharedItems>
    </cacheField>
    <cacheField name="Score" numFmtId="0">
      <sharedItems containsSemiMixedTypes="0" containsString="0" containsNumber="1">
        <n v="0.722234203797"/>
        <n v="0.833777382976"/>
        <n v="0.707319445914"/>
        <n v="0.521603179039"/>
        <n v="0.727002170654"/>
        <n v="0.859314439407"/>
        <n v="0.746507166623"/>
        <n v="0.813680479742"/>
        <n v="0.739085519301"/>
        <n v="0.738005718073"/>
        <n v="0.690162205043"/>
        <n v="0.714286237485"/>
        <n v="0.718749818415"/>
        <n v="0.460609197673"/>
        <n v="0.719959109051"/>
        <n v="0.950647427539"/>
        <n v="0.627847901969"/>
        <n v="0.850288734872"/>
        <n v="0.677463315407"/>
        <n v="0.680520672462"/>
        <n v="0.705299276798"/>
        <n v="0.668807677876"/>
        <n v="0.73267743655"/>
        <n v="0.652270734397"/>
        <n v="0.783377195752"/>
        <n v="0.68376718874"/>
        <n v="0.820215259699"/>
        <n v="0.764317675877"/>
        <n v="0.670944318936"/>
        <n v="0.833480025361"/>
        <n v="0.475811111614"/>
        <n v="0.763898814802"/>
        <n v="0.748469469817"/>
        <n v="0.73094624832"/>
        <n v="0.729270841656"/>
        <n v="0.77547907241"/>
        <n v="0.72090485932"/>
        <n v="0.71287653135"/>
        <n v="0.7717260207"/>
        <n v="0.281302851739"/>
        <n v="0.744828115258"/>
        <n v="0.64939326543"/>
        <n v="0.743979496265"/>
        <n v="0.684940293501"/>
        <n v="0.730023388018"/>
        <n v="0.696077741998"/>
        <n v="0.792127513258"/>
        <n v="0.758386833233"/>
        <n v="0.837927153708"/>
        <n v="0.736476590784"/>
        <n v="0.812403816837"/>
        <n v="0.731183723009"/>
        <n v="0.691400757067"/>
        <n v="0.696241474884"/>
        <n v="0.861990159333"/>
        <n v="0.644926122963"/>
        <n v="0.749492371758"/>
        <n v="0.776642661177"/>
        <n v="0.590713466298"/>
        <n v="0.752522238931"/>
        <n v="0.779152443734"/>
        <n v="0.824230827688"/>
        <n v="0.784086981462"/>
        <n v="0.777843098411"/>
        <n v="0.717436704032"/>
        <n v="0.744267824891"/>
        <n v="0.91042024182"/>
        <n v="0.704608237978"/>
        <n v="0.743351929424"/>
        <n v="0.786079963964"/>
        <n v="0.767402969696"/>
        <n v="0.767851210942"/>
        <n v="0.736322830569"/>
        <n v="0.781734885598"/>
        <n v="0.718277768347"/>
        <n v="0.720831896755"/>
        <n v="0.820987095311"/>
        <n v="0.652386611901"/>
        <n v="0.689490627603"/>
        <n v="0.773218134089"/>
        <n v="0.723048033136"/>
        <n v="0.771068593036"/>
        <n v="0.699498498127"/>
        <n v="0.736194134065"/>
        <n v="0.748194542938"/>
        <n v="0.714084170378"/>
        <n v="0.701344571877"/>
        <n v="0.731021709171"/>
        <n v="0.711436926048"/>
        <n v="0.698827712941"/>
        <n v="0.729415971371"/>
        <n v="0.773808178894"/>
        <n v="0.716133352744"/>
        <n v="0.658824292583"/>
        <n v="0.704482541439"/>
        <n v="0.693634997262"/>
        <n v="0.702886032901"/>
        <n v="0.712571170004"/>
        <n v="0.681571200793"/>
        <n v="0.723385834649"/>
        <n v="0.574228391635"/>
        <n v="0.715623101488"/>
        <n v="0.836798852048"/>
        <n v="0.746970851099"/>
        <n v="0.752160772321"/>
        <n v="0.704355757218"/>
        <n v="0.753371852375"/>
        <n v="0.713062082637"/>
        <n v="0.49853012633"/>
        <n v="0.718731870416"/>
        <n v="0.769346183924"/>
        <n v="0.760803379981"/>
        <n v="0.396387254418"/>
        <n v="0.730585605615"/>
        <n v="0.805377957803"/>
        <n v="0.72597440433"/>
        <n v="0.829581983574"/>
        <n v="0.717297818798"/>
        <n v="0.718307503929"/>
        <n v="0.666719009875"/>
        <n v="0.644135370067"/>
        <n v="0.712367011364"/>
        <n v="0.794289070324"/>
        <n v="0.729512852382"/>
        <n v="0.673356312884"/>
        <n v="0.693589726407"/>
        <n v="0.66787962754"/>
        <n v="0.766247486194"/>
        <n v="0.73214509796"/>
        <n v="0.718472302827"/>
        <n v="0.710684429856"/>
        <n v="0.731025815394"/>
        <n v="0.751871277654"/>
        <n v="0.528824522956"/>
        <n v="0.750085861499"/>
        <n v="0.707513750448"/>
        <n v="0.713074467876"/>
        <n v="0.688059254389"/>
        <n v="0.744717354074"/>
        <n v="0.695266980298"/>
        <n v="0.816776901532"/>
        <n v="0.749139658543"/>
        <n v="0.866860237096"/>
        <n v="0.73337750458"/>
        <n v="0.730772716737"/>
        <n v="0.594716976343"/>
        <n v="0.731717042223"/>
        <n v="0.871663479465"/>
        <n v="0.613208795106"/>
        <n v="0.975268611317"/>
        <n v="0.706344231973"/>
        <n v="0.837367090315"/>
        <n v="0.701473627576"/>
        <n v="0.664198761623"/>
        <n v="0.68080539093"/>
        <n v="0.737718988829"/>
        <n v="0.339064617829"/>
        <n v="0.747667898384"/>
        <n v="0.678768092949"/>
        <n v="0.745750541746"/>
        <n v="0.806886581209"/>
        <n v="0.720152983713"/>
        <n v="0.795694317472"/>
        <n v="0.749984077565"/>
        <n v="0.738072315972"/>
        <n v="0.779286877595"/>
        <n v="0.753041188551"/>
        <n v="0.796036650384"/>
        <n v="0.852985555553"/>
        <n v="0.694374539646"/>
        <n v="0.767086580189"/>
        <n v="0.76207495924"/>
        <n v="0.76956442419"/>
        <n v="0.727481385269"/>
        <n v="0.671226228869"/>
        <n v="0.728997635764"/>
        <n v="0.756188669715"/>
        <n v="0.773509377422"/>
        <n v="0.899978295438"/>
        <n v="0.6929360732"/>
        <n v="0.801943831587"/>
        <n v="0.726993621206"/>
        <n v="0.763231245594"/>
        <n v="0.809807311375"/>
        <n v="0.703419995748"/>
        <n v="0.69517901144"/>
        <n v="0.744259132024"/>
        <n v="0.745401726563"/>
        <n v="0.748681868216"/>
        <n v="0.709141909528"/>
        <n v="0.731975799352"/>
        <n v="0.726965194456"/>
        <n v="0.846449656841"/>
        <n v="0.751429069299"/>
        <n v="0.845851174606"/>
        <n v="0.68320219969"/>
        <n v="0.786725042649"/>
        <n v="0.69551052802"/>
        <n v="0.865344372993"/>
        <n v="0.74066531553"/>
        <n v="0.72874457413"/>
        <n v="0.769827704033"/>
        <n v="0.857968779405"/>
        <n v="0.704918090061"/>
        <n v="0.769202053055"/>
        <n v="0.793704966948"/>
        <n v="0.75845298679"/>
        <n v="0.841358662159"/>
        <n v="0.740260996052"/>
        <n v="0.610552148235"/>
        <n v="0.810503123956"/>
        <n v="0.703395955261"/>
        <n v="0.767879150449"/>
        <n v="0.720808145872"/>
        <n v="0.679936820454"/>
        <n v="0.634478614154"/>
        <n v="0.692241263206"/>
        <n v="0.641890230404"/>
        <n v="0.731549996086"/>
        <n v="0.717073040455"/>
        <n v="0.666874820048"/>
        <n v="0.655907791217"/>
        <n v="0.735611810106"/>
        <n v="0.639960873866"/>
        <n v="0.755892478497"/>
        <n v="0.599652738327"/>
        <n v="0.668975846952"/>
        <n v="0.698326599847"/>
        <n v="0.752907051698"/>
        <n v="0.72702066838"/>
        <n v="0.744376712316"/>
        <n v="0.772670328354"/>
        <n v="0.397090659198"/>
        <n v="0.731324638016"/>
        <n v="0.729888483778"/>
        <n v="0.674728367616"/>
        <n v="0.694811795397"/>
        <n v="0.737395597837"/>
        <n v="0.941721664563"/>
        <n v="0.708017996975"/>
        <n v="0.718598369936"/>
        <n v="0.739828544903"/>
        <n v="0.714878475282"/>
        <n v="0.69318830136"/>
        <n v="0.649308600582"/>
        <n v="0.779790862787"/>
        <n v="0.726668554091"/>
        <n v="0.782527264519"/>
        <n v="0.518354721544"/>
        <n v="0.683583174095"/>
        <n v="0.768496186139"/>
        <n v="0.721506517116"/>
        <n v="0.756936175354"/>
        <n v="0.651544018411"/>
        <n v="0.847329362195"/>
        <n v="0.698615200667"/>
        <n v="0.713608641407"/>
        <n v="0.708570354848"/>
        <n v="0.766948814271"/>
        <n v="0.743439880371"/>
        <n v="0.660188446967"/>
        <n v="0.886813167959"/>
        <n v="0.550184039227"/>
        <n v="0.701769857707"/>
        <n v="0.697436189137"/>
        <n v="0.71893325157"/>
        <n v="0.699559954612"/>
        <n v="0.748800598392"/>
        <n v="0.729996514314"/>
        <n v="0.572078579597"/>
        <n v="0.655739462303"/>
        <n v="0.674634101886"/>
        <n v="0.737818729588"/>
        <n v="0.721458659381"/>
        <n v="0.625476619448"/>
        <n v="0.282536325245"/>
        <n v="0.691059731069"/>
        <n v="0.69269495593"/>
        <n v="0.749047496673"/>
        <n v="0.718160640895"/>
        <n v="0.899484102232"/>
        <n v="0.764315675014"/>
        <n v="0.653565144442"/>
        <n v="0.703990757238"/>
        <n v="0.729924055382"/>
        <n v="0.719120701915"/>
        <n v="0.722721926991"/>
        <n v="0.787816926346"/>
        <n v="0.831295350884"/>
        <n v="0.72894925545"/>
        <n v="0.66973648415"/>
        <n v="0.746854897237"/>
        <n v="0.644149399945"/>
        <n v="0.776968259262"/>
        <n v="0.860168301613"/>
        <n v="0.790926642909"/>
        <n v="0.751830850156"/>
        <n v="0.744821771652"/>
        <n v="0.751070446717"/>
        <n v="0.728349160916"/>
        <n v="0.780242250983"/>
        <n v="0.724801699001"/>
        <n v="0.675532596105"/>
        <n v="0.911987684387"/>
        <n v="0.674811265929"/>
        <n v="0.758073326131"/>
        <n v="0.57343035507"/>
        <n v="0.725884103341"/>
        <n v="0.83741436103"/>
        <n v="0.75619216574"/>
        <n v="0.69737085043"/>
        <n v="0.337841201128"/>
        <n v="0.762948750627"/>
        <n v="0.734834924232"/>
        <n v="0.887036179127"/>
        <n v="0.722954416854"/>
        <n v="0.672342938826"/>
        <n v="0.867764297185"/>
        <n v="0.661729250108"/>
        <n v="0.748909840661"/>
        <n v="0.420333823606"/>
        <n v="0.696951239934"/>
        <n v="0.557551062967"/>
        <n v="0.772534290142"/>
        <n v="0.664496132112"/>
        <n v="0.770154978515"/>
        <n v="0.731049257672"/>
        <n v="0.658483705654"/>
        <n v="0.743919124588"/>
        <n v="0.786636028137"/>
        <n v="0.590128163194"/>
        <n v="0.759972266354"/>
        <n v="0.774447325545"/>
        <n v="0.778462535782"/>
        <n v="0.585223160999"/>
        <n v="0.725197157063"/>
        <n v="0.80607892936"/>
        <n v="0.695510602505"/>
        <n v="0.567905696509"/>
        <n v="0.727376643266"/>
        <n v="0.49169607411"/>
        <n v="0.756242992924"/>
        <n v="0.741353695108"/>
        <n v="0.750482819508"/>
        <n v="0.753240800657"/>
        <n v="0.706538797081"/>
        <n v="0.535617476517"/>
        <n v="0.704127171893"/>
        <n v="0.647185615808"/>
        <n v="0.800723665469"/>
        <n v="0.801418102257"/>
        <n v="0.733584370401"/>
        <n v="0.834076087505"/>
        <n v="0.757510973155"/>
        <n v="0.914013252665"/>
        <n v="0.74534930424"/>
        <n v="0.817560044522"/>
        <n v="0.688475453509"/>
        <n v="0.628005847964"/>
        <n v="0.714132514482"/>
        <n v="0.392751328408"/>
        <n v="0.722669408098"/>
        <n v="0.567499784376"/>
        <n v="0.685050538229"/>
        <n v="0.683014146303"/>
        <n v="0.705778324097"/>
        <n v="0.609033945326"/>
        <n v="0.687570441599"/>
        <n v="0.742054054293"/>
        <n v="0.716660856103"/>
        <n v="0.735990861391"/>
        <n v="0.778155697031"/>
        <n v="0.778951985502"/>
        <n v="0.706152056767"/>
        <n v="0.753809653842"/>
        <n v="0.797537389034"/>
        <n v="0.833747624874"/>
        <n v="0.762193726271"/>
        <n v="0.819119817756"/>
        <n v="0.736833533992"/>
        <n v="0.723768018973"/>
        <n v="0.828951956318"/>
        <n v="0.73114032263"/>
        <n v="0.650054735504"/>
        <n v="0.779373646685"/>
        <n v="0.869020930221"/>
        <n v="0.646642436025"/>
        <n v="0.7840301344"/>
        <n v="0.744803377926"/>
        <n v="0.554165722772"/>
        <n v="0.722663965301"/>
        <n v="0.877746241842"/>
        <n v="0.753441807027"/>
        <n v="0.256795332573"/>
        <n v="0.71878280819"/>
        <n v="0.824392205415"/>
        <n v="0.757400876584"/>
        <n v="0.568400277905"/>
        <n v="0.6838158247"/>
        <n v="0.826009119954"/>
        <n v="0.648149594661"/>
        <n v="0.710664395059"/>
        <n v="0.832349690203"/>
        <n v="0.708034978087"/>
        <n v="0.495325435335"/>
        <n v="0.659231553919"/>
        <n v="0.70926515817"/>
        <n v="0.616713363989"/>
        <n v="0.485546747273"/>
        <n v="0.703566894625"/>
        <n v="0.752099995603"/>
        <n v="0.634965361457"/>
        <n v="0.589823689045"/>
        <n v="0.775254161819"/>
        <n v="0.804643470754"/>
        <n v="0.735742531736"/>
        <n v="0.760117734751"/>
        <n v="0.831595139865"/>
        <n v="0.710712234375"/>
        <n v="0.754779991584"/>
        <n v="0.769961639467"/>
        <n v="0.6984845071"/>
        <n v="0.784377773913"/>
        <n v="0.77904054898"/>
        <n v="0.834742105246"/>
        <n v="0.760468927009"/>
        <n v="0.88991988676"/>
        <n v="0.667698701377"/>
        <n v="0.882478856462"/>
        <n v="0.655853602218"/>
        <n v="0.762057444562"/>
        <n v="0.754274105734"/>
        <n v="0.72478003466"/>
        <n v="0.718895819462"/>
        <n v="0.831320528329"/>
        <n v="0.77401961956"/>
        <n v="0.745603741405"/>
        <n v="0.65556853109"/>
        <n v="0.629015779638"/>
        <n v="0.702619372823"/>
        <n v="0.748656837305"/>
        <n v="0.811821036833"/>
        <n v="0.652482025585"/>
        <n v="0.557351343053"/>
        <n v="0.674319842466"/>
        <n v="0.788032514358"/>
        <n v="0.702676861616"/>
        <n v="0.693094128038"/>
        <n v="0.702782412601"/>
        <n v="0.713343629153"/>
        <n v="0.691804507388"/>
        <n v="0.800573198904"/>
        <n v="0.715676592853"/>
        <n v="0.740371417452"/>
        <n v="0.700384482851"/>
        <n v="0.651719326238"/>
        <n v="0.731805889005"/>
        <n v="0.725274957478"/>
        <n v="0.701147951051"/>
        <n v="0.66903267005"/>
        <n v="0.782277168403"/>
        <n v="0.735509905738"/>
        <n v="0.759487809397"/>
        <n v="0.512371156525"/>
        <n v="0.678766020712"/>
        <n v="0.786998696127"/>
        <n v="0.741069389908"/>
        <n v="0.66124263815"/>
        <n v="0.744461033242"/>
        <n v="0.73635548469"/>
        <n v="0.800305416914"/>
        <n v="0.758055612858"/>
        <n v="0.716304919763"/>
        <n v="0.671519925731"/>
        <n v="0.671560881915"/>
        <n v="0.746006821123"/>
        <n v="0.785879951169"/>
        <n v="0.80683901755"/>
        <n v="0.727643285779"/>
        <n v="0.648341365258"/>
        <n v="0.793992187588"/>
        <n v="0.694198090903"/>
        <n v="0.733532965497"/>
        <n v="0.89264139323"/>
        <n v="0.767306250946"/>
        <n v="0.900623334608"/>
        <n v="0.781081057126"/>
        <n v="0.748096583726"/>
        <n v="0.693972152411"/>
        <n v="0.824848501341"/>
        <n v="0.780292796233"/>
        <n v="0.950496244241"/>
        <n v="0.714431134705"/>
        <n v="0.702151551506"/>
        <n v="0.733776866608"/>
        <n v="0.781696661808"/>
        <n v="0.702143410244"/>
        <n v="0.598983254131"/>
        <n v="0.739529493785"/>
        <n v="0.819651372522"/>
        <n v="0.781918177848"/>
        <n v="0.67579288976"/>
        <n v="0.698603906502"/>
        <n v="0.732242682285"/>
        <n v="0.761876509255"/>
        <n v="0.756136359299"/>
        <n v="0.774749315124"/>
        <n v="0.730285232612"/>
        <n v="0.836001092283"/>
        <n v="0.714410358143"/>
        <n v="0.730676754737"/>
        <n v="0.744816854899"/>
        <n v="0.81408818846"/>
        <n v="0.718536487192"/>
        <n v="0.821979569776"/>
        <n v="0.727749128534"/>
        <n v="0.670576604279"/>
        <n v="0.756860424045"/>
        <n v="0.716009897234"/>
        <n v="0.759672917936"/>
        <n v="0.742666519268"/>
        <n v="0.782705969652"/>
        <n v="0.770667532141"/>
        <n v="0.736202383513"/>
        <n v="0.74292693948"/>
        <n v="0.591498864806"/>
        <n v="0.759833829392"/>
        <n v="0.700358514313"/>
        <n v="0.644762512997"/>
        <n v="0.734741239917"/>
        <n v="0.828994998255"/>
        <n v="0.678961263383"/>
        <n v="0.72765043984"/>
        <n v="0.75488786371"/>
        <n v="0.555669785756"/>
        <n v="0.739504268543"/>
        <n v="0.682237594567"/>
        <n v="0.705583386801"/>
        <n v="0.684023755658"/>
        <n v="0.627644495609"/>
        <n v="0.768967745892"/>
        <n v="0.699365126737"/>
        <n v="0.7216511843"/>
        <n v="0.667042726791"/>
        <n v="0.652081213084"/>
        <n v="0.752556284049"/>
        <n v="0.718924420843"/>
        <n v="0.667422723748"/>
        <n v="0.737604752448"/>
        <n v="0.794983459235"/>
        <n v="0.69116096196"/>
        <n v="0.749263392148"/>
        <n v="0.731395412916"/>
        <n v="0.705353163682"/>
        <n v="0.79226085485"/>
        <n v="0.685178782515"/>
        <n v="0.911581408689"/>
        <n v="0.772868087857"/>
        <n v="0.838720534749"/>
        <n v="0.718594126118"/>
        <n v="0.800919940461"/>
        <n v="0.800507323678"/>
        <n v="0.775941145464"/>
        <n v="0.585739334022"/>
        <n v="0.757000450858"/>
        <n v="0.754324323212"/>
        <n v="0.710563882855"/>
        <n v="0.634055152208"/>
        <n v="0.797274641712"/>
        <n v="0.676253391212"/>
        <n v="0.842793804589"/>
        <n v="0.773129101561"/>
        <n v="0.631818361586"/>
        <n v="0.758602921924"/>
        <n v="0.777645300496"/>
        <n v="0.738966973579"/>
        <n v="0.783792524934"/>
        <n v="0.75054360018"/>
        <n v="0.709581482061"/>
        <n v="0.717779739896"/>
        <n v="0.777867377796"/>
        <n v="0.741334329152"/>
        <n v="0.752743597617"/>
        <n v="0.740338269236"/>
        <n v="0.765403719776"/>
        <n v="0.74131055906"/>
        <n v="0.591885654595"/>
        <n v="0.758966512519"/>
        <n v="0.727853022875"/>
        <n v="0.726243636939"/>
        <n v="0.569317971358"/>
        <n v="0.724053883113"/>
        <n v="0.74647878239"/>
        <n v="0.617213133704"/>
        <n v="0.747652083184"/>
        <n v="0.780318064758"/>
        <n v="0.841854579628"/>
        <n v="0.713939143664"/>
        <n v="0.740818377671"/>
        <n v="0.861925817439"/>
        <n v="0.742430251804"/>
        <n v="0.355411340587"/>
        <n v="0.737179425464"/>
        <n v="0.653773802903"/>
        <n v="0.737840275975"/>
        <n v="0.708170265311"/>
        <n v="0.781376702552"/>
        <n v="0.657731611078"/>
        <n v="0.742275879979"/>
        <n v="0.729570512901"/>
        <n v="0.793369126258"/>
        <n v="0.681676128923"/>
        <n v="0.728870128077"/>
        <n v="0.907955917613"/>
        <n v="0.782311708003"/>
        <n v="0.840398692362"/>
        <n v="0.662701879265"/>
        <n v="0.875458961206"/>
        <n v="0.700464247418"/>
        <n v="0.71058326343"/>
        <n v="0.779523820693"/>
        <n v="0.482045325438"/>
        <n v="0.688900723062"/>
        <n v="0.55045980295"/>
        <n v="0.807120449104"/>
        <n v="0.766187735663"/>
        <n v="0.785446182096"/>
        <n v="0.716826712141"/>
        <n v="0.786067274409"/>
        <n v="0.739696434805"/>
        <n v="0.817958889211"/>
        <n v="0.725879989719"/>
        <n v="0.709859613724"/>
        <n v="0.758194034006"/>
        <n v="0.726552172616"/>
        <n v="0.66838470159"/>
        <n v="0.377775783403"/>
        <n v="0.690457492202"/>
        <n v="0.714601321601"/>
        <n v="0.721515894204"/>
        <n v="0.846432578386"/>
        <n v="0.694110619001"/>
        <n v="0.626575312828"/>
        <n v="0.748767802427"/>
        <n v="0.66067731575"/>
        <n v="0.784490088845"/>
        <n v="0.805880853917"/>
        <n v="0.73443026"/>
        <n v="0.784250237275"/>
        <n v="0.829202679081"/>
        <n v="0.77499527426"/>
        <n v="0.431899772017"/>
        <n v="0.770006326484"/>
        <n v="0.649712976399"/>
        <n v="0.73282411023"/>
        <n v="0.734341919156"/>
        <n v="0.736139503308"/>
        <n v="0.753135533879"/>
        <n v="0.604044691691"/>
        <n v="0.470103466617"/>
        <n v="0.734627883855"/>
        <n v="0.0647643001963"/>
        <n v="0.733327069309"/>
        <n v="0.412041651521"/>
        <n v="0.788464132783"/>
        <n v="0.737869556981"/>
        <n v="0.757398651547"/>
        <n v="0.622719154328"/>
        <n v="0.765792257169"/>
        <n v="0.802064693442"/>
        <n v="0.790168140584"/>
        <n v="0.727950562558"/>
        <n v="0.794324656003"/>
        <n v="0.733289908246"/>
        <n v="0.716721032394"/>
        <n v="0.71952575447"/>
        <n v="0.843339813449"/>
        <n v="0.708136673694"/>
        <n v="0.796614430979"/>
        <n v="0.680825245348"/>
        <n v="0.613249574126"/>
        <n v="0.721191912613"/>
        <n v="0.859648804827"/>
        <n v="0.751443579129"/>
        <n v="0.722005567295"/>
        <n v="0.827654133469"/>
        <n v="0.736327405626"/>
        <n v="0.712016064017"/>
        <n v="0.79214511016"/>
        <n v="0.783071715736"/>
        <n v="0.715752426082"/>
        <n v="0.783895712632"/>
        <n v="0.726115718025"/>
        <n v="0.78207454827"/>
        <n v="0.853554956726"/>
        <n v="0.715153626486"/>
        <n v="0.680754413865"/>
        <n v="0.749121593316"/>
        <n v="0.789661232636"/>
        <n v="0.762240960816"/>
        <n v="0.809223379016"/>
        <n v="0.723484290893"/>
        <n v="0.378353665665"/>
        <n v="0.829482525695"/>
        <n v="0.963679976788"/>
        <n v="0.738406794052"/>
        <n v="0.796779019321"/>
        <n v="0.767223770721"/>
        <n v="0.753420892679"/>
        <n v="0.696274121829"/>
      </sharedItems>
    </cacheField>
    <cacheField name="Release Dates" numFmtId="167">
      <sharedItems containsDate="1" containsString="0" containsBlank="1">
        <d v="2011-06-24T00:00:00Z"/>
        <d v="2011-06-27T00:00:00Z"/>
        <d v="2011-07-04T00:00:00Z"/>
        <d v="2011-07-22T00:00:00Z"/>
        <d v="2011-07-23T00:00:00Z"/>
        <d v="2011-04-29T00:00:00Z"/>
        <d v="2011-05-23T00:00:00Z"/>
        <d v="2011-05-27T00:00:00Z"/>
        <d v="2011-06-06T00:00:00Z"/>
        <d v="2011-06-16T00:00:00Z"/>
        <d v="2011-03-21T00:00:00Z"/>
        <d v="2011-07-28T00:00:00Z"/>
        <d v="2011-08-26T00:00:00Z"/>
        <d v="2011-09-25T00:00:00Z"/>
        <d v="2011-12-08T00:00:00Z"/>
        <d v="2011-12-26T00:00:00Z"/>
        <d v="2012-01-06T00:00:00Z"/>
        <d v="2012-02-06T00:00:00Z"/>
        <d v="2012-02-24T00:00:00Z"/>
        <d v="2012-03-18T00:00:00Z"/>
        <d v="2012-04-30T00:00:00Z"/>
        <d v="2012-05-17T00:00:00Z"/>
        <d v="2012-05-30T00:00:00Z"/>
        <d v="2012-07-11T00:00:00Z"/>
        <d v="2012-08-28T00:00:00Z"/>
        <d v="2012-10-25T00:00:00Z"/>
        <d v="2012-11-29T00:00:00Z"/>
        <d v="2012-12-20T00:00:00Z"/>
        <d v="2012-12-21T00:00:00Z"/>
        <d v="2013-01-17T00:00:00Z"/>
        <d v="2013-03-20T00:00:00Z"/>
        <d v="2013-08-07T00:00:00Z"/>
        <d v="2013-10-10T00:00:00Z"/>
        <d v="2012-09-06T00:00:00Z"/>
        <d v="2012-09-11T00:00:00Z"/>
        <d v="2012-09-20T00:00:00Z"/>
        <d v="2012-10-30T00:00:00Z"/>
        <d v="2013-02-23T00:00:00Z"/>
        <d v="2013-03-26T00:00:00Z"/>
        <d v="2013-05-06T00:00:00Z"/>
        <d v="2013-06-02T00:00:00Z"/>
        <d v="2013-03-01T00:00:00Z"/>
        <d v="2013-04-06T00:00:00Z"/>
        <d v="2013-06-19T00:00:00Z"/>
        <d v="2013-07-15T00:00:00Z"/>
        <d v="2013-08-26T00:00:00Z"/>
        <d v="2013-09-26T00:00:00Z"/>
        <d v="2013-11-13T00:00:00Z"/>
        <d v="2013-12-02T00:00:00Z"/>
        <d v="2013-06-03T00:00:00Z"/>
        <d v="2013-06-11T00:00:00Z"/>
        <d v="2013-07-17T00:00:00Z"/>
        <d v="2013-08-27T00:00:00Z"/>
        <d v="2013-09-27T00:00:00Z"/>
        <d v="2013-11-14T00:00:00Z"/>
        <d v="2013-12-16T00:00:00Z"/>
        <d v="2014-01-05T00:00:00Z"/>
        <d v="2014-02-12T00:00:00Z"/>
        <d v="2014-02-27T00:00:00Z"/>
        <d v="2014-04-03T00:00:00Z"/>
        <d v="2014-04-27T00:00:00Z"/>
        <d v="2014-05-22T00:00:00Z"/>
        <d v="2014-05-31T00:00:00Z"/>
        <d v="2014-07-07T00:00:00Z"/>
        <d v="2014-07-15T00:00:00Z"/>
        <d v="2014-09-03T00:00:00Z"/>
        <d v="2014-09-28T00:00:00Z"/>
        <d v="2014-10-24T00:00:00Z"/>
        <d v="2014-11-20T00:00:00Z"/>
        <d v="2014-12-03T00:00:00Z"/>
        <d v="2015-01-07T00:00:00Z"/>
        <d v="2015-01-30T00:00:00Z"/>
        <d v="2015-03-17T00:00:00Z"/>
        <d v="2015-04-01T00:00:00Z"/>
        <d v="2015-05-10T00:00:00Z"/>
        <d v="2015-05-26T00:00:00Z"/>
        <d v="2015-05-29T00:00:00Z"/>
        <d v="2015-07-13T00:00:00Z"/>
        <d v="2015-09-01T00:00:00Z"/>
        <d v="2015-09-25T00:00:00Z"/>
        <d v="2015-10-27T00:00:00Z"/>
        <d v="2015-11-23T00:00:00Z"/>
        <d v="2015-12-26T00:00:00Z"/>
        <d v="2016-01-14T00:00:00Z"/>
        <d v="2016-02-28T00:00:00Z"/>
        <d v="2016-03-13T00:00:00Z"/>
        <d v="2016-04-29T00:00:00Z"/>
        <d v="2016-05-09T00:00:00Z"/>
        <d v="2016-05-30T00:00:00Z"/>
        <d v="2013-10-07T00:00:00Z"/>
        <d v="2013-10-30T00:00:00Z"/>
        <d v="2013-11-25T00:00:00Z"/>
        <d v="2013-12-03T00:00:00Z"/>
        <d v="2014-04-04T00:00:00Z"/>
        <d v="2014-07-08T00:00:00Z"/>
        <d v="2014-04-11T00:00:00Z"/>
        <d v="2014-04-29T00:00:00Z"/>
        <d v="2014-05-28T00:00:00Z"/>
        <d v="2014-08-06T00:00:00Z"/>
        <d v="2015-02-02T00:00:00Z"/>
        <d v="2014-11-03T00:00:00Z"/>
        <d v="2014-11-23T00:00:00Z"/>
        <d v="2014-11-28T00:00:00Z"/>
        <d v="2015-05-11T00:00:00Z"/>
        <d v="2015-05-27T00:00:00Z"/>
        <d v="2015-07-26T00:00:00Z"/>
        <d v="2015-04-10T00:00:00Z"/>
        <d v="2015-05-13T00:00:00Z"/>
        <d v="2015-05-30T00:00:00Z"/>
        <d v="2015-06-11T00:00:00Z"/>
        <d v="2015-07-31T00:00:00Z"/>
        <d v="2015-09-08T00:00:00Z"/>
        <d v="2016-03-25T00:00:00Z"/>
        <d v="2016-06-06T00:00:00Z"/>
        <d v="2016-06-30T00:00:00Z"/>
        <d v="2016-07-30T00:00:00Z"/>
        <d v="2016-09-02T00:00:00Z"/>
        <d v="2016-09-07T00:00:00Z"/>
        <d v="2016-10-03T00:00:00Z"/>
        <d v="2016-10-27T00:00:00Z"/>
        <d v="2016-11-21T00:00:00Z"/>
        <d v="2016-12-13T00:00:00Z"/>
        <d v="2017-01-12T00:00:00Z"/>
        <d v="2017-02-06T00:00:00Z"/>
        <d v="2017-03-06T00:00:00Z"/>
        <d v="2017-04-04T00:00:00Z"/>
        <d v="2017-05-01T00:00:00Z"/>
        <d v="2017-05-29T00:00:00Z"/>
        <d v="2017-06-07T00:00:00Z"/>
        <d v="2017-07-03T00:00:00Z"/>
        <d v="2017-07-05T00:00:00Z"/>
        <d v="2017-07-17T00:00:00Z"/>
        <d v="2017-08-01T00:00:00Z"/>
        <d v="2017-08-28T00:00:00Z"/>
        <d v="2017-10-05T00:00:00Z"/>
        <d v="2017-11-10T00:00:00Z"/>
        <d v="2015-11-16T00:00:00Z"/>
        <d v="2015-11-30T00:00:00Z"/>
        <d v="2016-03-27T00:00:00Z"/>
        <d v="2016-05-02T00:00:00Z"/>
        <d v="2017-04-05T00:00:00Z"/>
        <d v="2017-07-04T00:00:00Z"/>
        <d v="2018-04-06T00:00:00Z"/>
        <d v="2018-04-30T00:00:00Z"/>
        <d v="2016-02-03T00:00:00Z"/>
        <d v="2016-03-30T00:00:00Z"/>
        <d v="2016-05-03T00:00:00Z"/>
        <d v="2016-05-13T00:00:00Z"/>
        <d v="2016-05-26T00:00:00Z"/>
        <d v="2016-06-15T00:00:00Z"/>
        <d v="2016-09-03T00:00:00Z"/>
        <d v="2017-01-28T00:00:00Z"/>
        <d v="2016-11-17T00:00:00Z"/>
        <d v="2016-11-27T00:00:00Z"/>
        <d v="2016-11-30T00:00:00Z"/>
        <d v="2017-02-17T00:00:00Z"/>
        <d v="2017-03-09T00:00:00Z"/>
        <d v="2017-03-10T00:00:00Z"/>
        <d v="2017-11-16T00:00:00Z"/>
        <d v="2017-05-17T00:00:00Z"/>
        <d v="2017-06-05T00:00:00Z"/>
        <d v="2017-06-06T00:00:00Z"/>
        <d v="2017-09-11T00:00:00Z"/>
        <d v="2017-10-18T00:00:00Z"/>
        <d v="2017-10-30T00:00:00Z"/>
        <d v="2017-11-05T00:00:00Z"/>
        <d v="2017-10-19T00:00:00Z"/>
        <d v="2010-09-13T00:00:00Z"/>
        <d v="2010-12-01T00:00:00Z"/>
        <d v="2011-01-17T00:00:00Z"/>
        <d v="2011-02-05T00:00:00Z"/>
        <d v="2011-03-29T00:00:00Z"/>
        <d v="2011-04-05T00:00:00Z"/>
        <d v="2011-04-12T00:00:00Z"/>
        <d v="2011-04-19T00:00:00Z"/>
        <m/>
      </sharedItems>
    </cacheField>
    <cacheField name="Pivot dates" numFmtId="0">
      <sharedItems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NodeJS" cacheId="0" dataCaption="" compact="0" compactData="0">
  <location ref="A1:B102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t="default"/>
      </items>
    </pivotField>
    <pivotField name="Scor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Month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AngularJS" cacheId="1" dataCaption="" compact="0" compactData="0">
  <location ref="A1:B85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name="Scor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Month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EmberJS" cacheId="3" dataCaption="" compact="0" compactData="0">
  <location ref="A1:B74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Month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VueJS" cacheId="2" dataCaption="" compact="0" compactData="0">
  <location ref="A1:B48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Month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CakePhp" cacheId="4" dataCaption="" compact="0" compactData="0">
  <location ref="A1:B109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Pivot date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Laravel" cacheId="5" dataCaption="" compact="0" compactData="0">
  <location ref="A1:B74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ivot dates" axis="axisRow" compact="0" numFmtId="165" outline="0" multipleItemSelectionAllowed="1" showAll="0" sortType="ascending">
      <items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ivot release d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Symfony" cacheId="6" dataCaption="" compact="0" compactData="0">
  <location ref="A1:B94" firstHeaderRow="0" firstDataRow="1" firstDataCol="0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Release Date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Pivot date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3"/>
  </rowFields>
  <dataFields>
    <dataField name="Score" fld="1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2.86"/>
    <col customWidth="1" min="3" max="3" width="26.43"/>
    <col customWidth="1" min="4" max="4" width="19.29"/>
    <col customWidth="1" min="5" max="5" width="23.14"/>
    <col customWidth="1" min="6" max="6" width="21.71"/>
    <col customWidth="1" min="9" max="9" width="24.14"/>
    <col customWidth="1" min="10" max="10" width="25.57"/>
    <col customWidth="1" min="11" max="11" width="18.71"/>
    <col customWidth="1" min="16" max="16" width="17.43"/>
    <col customWidth="1" min="29" max="29" width="20.43"/>
    <col customWidth="1" min="41" max="41" width="2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4" t="s">
        <v>1</v>
      </c>
      <c r="V1" s="4" t="s">
        <v>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</row>
    <row r="2">
      <c r="A2" s="6"/>
      <c r="B2" s="7" t="s">
        <v>3</v>
      </c>
      <c r="H2" s="8" t="s">
        <v>4</v>
      </c>
      <c r="N2" s="8" t="s">
        <v>5</v>
      </c>
      <c r="T2" s="7" t="s">
        <v>6</v>
      </c>
      <c r="Z2" s="7" t="s">
        <v>7</v>
      </c>
      <c r="AJ2" s="4" t="s">
        <v>8</v>
      </c>
      <c r="AK2" s="4" t="s">
        <v>3</v>
      </c>
      <c r="AL2" s="4" t="s">
        <v>4</v>
      </c>
      <c r="AM2" s="4" t="s">
        <v>9</v>
      </c>
      <c r="AN2" s="4" t="s">
        <v>10</v>
      </c>
      <c r="AO2" s="4" t="s">
        <v>11</v>
      </c>
    </row>
    <row r="3">
      <c r="A3" s="6"/>
      <c r="B3" s="9" t="s">
        <v>12</v>
      </c>
      <c r="D3" s="9" t="s">
        <v>13</v>
      </c>
      <c r="E3" s="10" t="s">
        <v>14</v>
      </c>
      <c r="F3" s="10" t="s">
        <v>15</v>
      </c>
      <c r="G3" s="11" t="s">
        <v>16</v>
      </c>
      <c r="H3" s="9" t="s">
        <v>12</v>
      </c>
      <c r="J3" s="9" t="s">
        <v>13</v>
      </c>
      <c r="K3" s="10" t="s">
        <v>14</v>
      </c>
      <c r="L3" s="10" t="s">
        <v>15</v>
      </c>
      <c r="M3" s="11" t="s">
        <v>16</v>
      </c>
      <c r="N3" s="9" t="s">
        <v>12</v>
      </c>
      <c r="P3" s="9" t="s">
        <v>13</v>
      </c>
      <c r="Q3" s="10" t="s">
        <v>14</v>
      </c>
      <c r="R3" s="10" t="s">
        <v>15</v>
      </c>
      <c r="S3" s="11" t="s">
        <v>16</v>
      </c>
      <c r="T3" s="9" t="s">
        <v>12</v>
      </c>
      <c r="V3" s="9" t="s">
        <v>13</v>
      </c>
      <c r="W3" s="10" t="s">
        <v>14</v>
      </c>
      <c r="X3" s="10" t="s">
        <v>15</v>
      </c>
      <c r="Y3" s="11" t="s">
        <v>16</v>
      </c>
      <c r="Z3" s="9" t="s">
        <v>12</v>
      </c>
      <c r="AB3" s="9" t="s">
        <v>13</v>
      </c>
      <c r="AC3" s="10" t="s">
        <v>14</v>
      </c>
      <c r="AD3" s="10" t="s">
        <v>15</v>
      </c>
      <c r="AE3" s="11" t="s">
        <v>16</v>
      </c>
      <c r="AJ3" s="4" t="s">
        <v>13</v>
      </c>
      <c r="AK3" s="12">
        <v>0.7801</v>
      </c>
      <c r="AL3" s="12">
        <v>0.817375</v>
      </c>
      <c r="AM3" s="13">
        <v>0.650875</v>
      </c>
      <c r="AN3" s="12">
        <v>0.81122</v>
      </c>
      <c r="AO3" s="13">
        <v>0.6982499999999999</v>
      </c>
    </row>
    <row r="4">
      <c r="A4" s="14" t="s">
        <v>17</v>
      </c>
      <c r="B4" s="15">
        <v>0.38786813</v>
      </c>
      <c r="C4" s="16">
        <v>0.11213188</v>
      </c>
      <c r="D4" s="15">
        <v>0.786</v>
      </c>
      <c r="E4" s="15">
        <v>0.7803</v>
      </c>
      <c r="F4" s="15">
        <v>0.7962</v>
      </c>
      <c r="G4" s="17">
        <v>0.788</v>
      </c>
      <c r="H4" s="15">
        <v>0.4165</v>
      </c>
      <c r="I4" s="15">
        <v>0.0835</v>
      </c>
      <c r="J4" s="15">
        <v>0.849</v>
      </c>
      <c r="K4" s="15">
        <v>0.838</v>
      </c>
      <c r="L4" s="15">
        <v>0.865</v>
      </c>
      <c r="M4" s="17">
        <v>0.8514</v>
      </c>
      <c r="N4" s="18">
        <v>0.38157895</v>
      </c>
      <c r="O4" s="19">
        <v>0.14285714</v>
      </c>
      <c r="P4" s="15">
        <v>0.645</v>
      </c>
      <c r="Q4" s="15">
        <v>0.695</v>
      </c>
      <c r="R4" s="15">
        <v>0.555</v>
      </c>
      <c r="S4" s="17">
        <v>0.545</v>
      </c>
      <c r="T4" s="20">
        <v>0.32828526</v>
      </c>
      <c r="U4" s="21">
        <v>0.08309295</v>
      </c>
      <c r="V4" s="4">
        <v>0.8405</v>
      </c>
      <c r="W4" s="4">
        <v>0.8639</v>
      </c>
      <c r="X4" s="4">
        <v>0.8703</v>
      </c>
      <c r="Y4" s="22">
        <v>0.8661</v>
      </c>
      <c r="Z4" s="20">
        <v>0.485</v>
      </c>
      <c r="AA4" s="21">
        <v>0.09</v>
      </c>
      <c r="AB4" s="4">
        <v>0.737</v>
      </c>
      <c r="AC4" s="4">
        <v>0.75</v>
      </c>
      <c r="AD4" s="4">
        <v>0.595</v>
      </c>
      <c r="AE4" s="22">
        <v>0.657</v>
      </c>
      <c r="AH4" s="4"/>
      <c r="AI4" s="4"/>
      <c r="AJ4" s="4" t="s">
        <v>14</v>
      </c>
      <c r="AK4" s="12">
        <v>0.77945</v>
      </c>
      <c r="AL4" s="12">
        <v>0.846075</v>
      </c>
      <c r="AM4" s="13">
        <v>0.68514</v>
      </c>
      <c r="AN4" s="12">
        <v>0.807275</v>
      </c>
      <c r="AO4" s="13">
        <v>0.783925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</row>
    <row r="5">
      <c r="A5" s="14"/>
      <c r="B5" s="15">
        <v>0.10186625</v>
      </c>
      <c r="C5" s="15">
        <v>0.39813375</v>
      </c>
      <c r="D5" s="15"/>
      <c r="E5" s="15"/>
      <c r="F5" s="15"/>
      <c r="G5" s="17"/>
      <c r="H5" s="15">
        <v>0.0675</v>
      </c>
      <c r="I5" s="15">
        <v>0.4325</v>
      </c>
      <c r="J5" s="15"/>
      <c r="K5" s="15"/>
      <c r="L5" s="15"/>
      <c r="M5" s="17"/>
      <c r="N5" s="18">
        <v>0.21115288</v>
      </c>
      <c r="O5" s="19">
        <v>0.26441103</v>
      </c>
      <c r="P5" s="15"/>
      <c r="Q5" s="15"/>
      <c r="R5" s="15"/>
      <c r="S5" s="17"/>
      <c r="T5" s="20">
        <v>0.07636218</v>
      </c>
      <c r="U5" s="4">
        <v>0.51225962</v>
      </c>
      <c r="V5" s="4"/>
      <c r="W5" s="4"/>
      <c r="X5" s="4"/>
      <c r="Y5" s="22"/>
      <c r="Z5" s="20">
        <v>0.171</v>
      </c>
      <c r="AA5" s="4">
        <v>0.252</v>
      </c>
      <c r="AB5" s="4"/>
      <c r="AC5" s="4"/>
      <c r="AD5" s="4"/>
      <c r="AE5" s="22"/>
      <c r="AH5" s="4"/>
      <c r="AI5" s="4"/>
      <c r="AJ5" s="4" t="s">
        <v>15</v>
      </c>
      <c r="AK5" s="12">
        <v>0.7813</v>
      </c>
      <c r="AL5" s="12">
        <v>0.77875</v>
      </c>
      <c r="AM5" s="4">
        <v>0.479675</v>
      </c>
      <c r="AN5" s="12">
        <v>0.9094125</v>
      </c>
      <c r="AO5" s="13">
        <v>0.41950000000000004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</row>
    <row r="6">
      <c r="A6" s="4" t="s">
        <v>18</v>
      </c>
      <c r="B6" s="15">
        <v>0.39259625</v>
      </c>
      <c r="C6" s="15">
        <v>0.10740375</v>
      </c>
      <c r="D6" s="15">
        <v>0.766</v>
      </c>
      <c r="E6" s="15">
        <v>0.7768</v>
      </c>
      <c r="F6" s="15">
        <v>0.747</v>
      </c>
      <c r="G6" s="17">
        <v>0.7618</v>
      </c>
      <c r="H6" s="15">
        <v>0.4355</v>
      </c>
      <c r="I6" s="16">
        <v>0.0645</v>
      </c>
      <c r="J6" s="15">
        <v>0.8065</v>
      </c>
      <c r="K6" s="15">
        <v>0.8524</v>
      </c>
      <c r="L6" s="15">
        <v>0.742</v>
      </c>
      <c r="M6" s="17">
        <v>0.792</v>
      </c>
      <c r="N6" s="18">
        <v>0.41729323</v>
      </c>
      <c r="O6" s="19">
        <v>0.10714286</v>
      </c>
      <c r="P6" s="15">
        <v>0.645</v>
      </c>
      <c r="Q6" s="15">
        <v>0.711</v>
      </c>
      <c r="R6" s="15">
        <v>0.4805</v>
      </c>
      <c r="S6" s="17">
        <v>0.5254</v>
      </c>
      <c r="T6" s="20">
        <v>0.2742788</v>
      </c>
      <c r="U6" s="4">
        <v>0.137</v>
      </c>
      <c r="V6" s="4">
        <v>0.8373</v>
      </c>
      <c r="W6" s="4">
        <v>0.8133</v>
      </c>
      <c r="X6" s="4">
        <v>0.9566</v>
      </c>
      <c r="Y6" s="22">
        <v>0.8774</v>
      </c>
      <c r="Z6" s="20">
        <v>0.556</v>
      </c>
      <c r="AA6" s="4">
        <v>0.019</v>
      </c>
      <c r="AB6" s="4">
        <v>0.695</v>
      </c>
      <c r="AC6" s="4">
        <v>0.877</v>
      </c>
      <c r="AD6" s="4">
        <v>0.328</v>
      </c>
      <c r="AE6" s="22">
        <v>0.476</v>
      </c>
      <c r="AH6" s="4"/>
      <c r="AI6" s="4"/>
      <c r="AJ6" s="4" t="s">
        <v>19</v>
      </c>
      <c r="AK6" s="12">
        <v>0.7801500000000001</v>
      </c>
      <c r="AL6" s="12">
        <v>0.8080499999999999</v>
      </c>
      <c r="AM6" s="13">
        <v>0.502425</v>
      </c>
      <c r="AN6" s="12">
        <v>0.8524525000000001</v>
      </c>
      <c r="AO6" s="13">
        <v>0.5329999999999999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</row>
    <row r="7">
      <c r="A7" s="14"/>
      <c r="B7" s="15">
        <v>0.1262425</v>
      </c>
      <c r="C7" s="15">
        <v>0.3737575</v>
      </c>
      <c r="D7" s="15"/>
      <c r="E7" s="15"/>
      <c r="F7" s="15"/>
      <c r="G7" s="17"/>
      <c r="H7" s="18">
        <v>0.129</v>
      </c>
      <c r="I7" s="19">
        <v>0.371</v>
      </c>
      <c r="J7" s="15"/>
      <c r="K7" s="15"/>
      <c r="L7" s="15"/>
      <c r="M7" s="17"/>
      <c r="N7" s="18">
        <v>0.24686717</v>
      </c>
      <c r="O7" s="15">
        <v>0.22869674</v>
      </c>
      <c r="P7" s="15"/>
      <c r="Q7" s="15"/>
      <c r="R7" s="15"/>
      <c r="S7" s="17"/>
      <c r="T7" s="20">
        <v>0.0255</v>
      </c>
      <c r="U7" s="4">
        <v>0.563</v>
      </c>
      <c r="V7" s="4"/>
      <c r="W7" s="4"/>
      <c r="X7" s="4"/>
      <c r="Y7" s="22"/>
      <c r="Z7" s="20">
        <v>0.284</v>
      </c>
      <c r="AA7" s="4">
        <v>0.139</v>
      </c>
      <c r="AB7" s="4"/>
      <c r="AC7" s="4"/>
      <c r="AD7" s="4"/>
      <c r="AE7" s="22"/>
      <c r="AF7" s="4"/>
      <c r="AG7" s="4"/>
      <c r="AH7" s="4"/>
      <c r="AI7" s="4"/>
      <c r="AJ7" s="23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</row>
    <row r="8">
      <c r="A8" s="4" t="s">
        <v>20</v>
      </c>
      <c r="B8" s="15">
        <v>0.38570187</v>
      </c>
      <c r="C8" s="15">
        <v>0.11429813</v>
      </c>
      <c r="D8" s="15">
        <v>0.7738</v>
      </c>
      <c r="E8" s="15">
        <v>0.7725</v>
      </c>
      <c r="F8" s="15">
        <v>0.7763</v>
      </c>
      <c r="G8" s="17">
        <v>0.774</v>
      </c>
      <c r="H8" s="15">
        <v>0.45</v>
      </c>
      <c r="I8" s="19">
        <v>0.05</v>
      </c>
      <c r="J8" s="15">
        <v>0.7915</v>
      </c>
      <c r="K8" s="15">
        <v>0.8728</v>
      </c>
      <c r="L8" s="15">
        <v>0.683</v>
      </c>
      <c r="M8" s="17">
        <v>0.7659</v>
      </c>
      <c r="N8" s="18">
        <v>0.47681704</v>
      </c>
      <c r="O8" s="19">
        <v>0.04761905</v>
      </c>
      <c r="P8" s="15">
        <v>0.6685</v>
      </c>
      <c r="Q8" s="15">
        <v>0.64166</v>
      </c>
      <c r="R8" s="15">
        <v>0.4027</v>
      </c>
      <c r="S8" s="17">
        <v>0.4328</v>
      </c>
      <c r="T8" s="20">
        <v>0.2049</v>
      </c>
      <c r="U8" s="4">
        <v>0.2064</v>
      </c>
      <c r="V8" s="4">
        <v>0.7267</v>
      </c>
      <c r="W8" s="4">
        <v>0.717</v>
      </c>
      <c r="X8" s="4">
        <v>0.8865</v>
      </c>
      <c r="Y8" s="22">
        <v>0.7907</v>
      </c>
      <c r="Z8" s="20">
        <v>0.521</v>
      </c>
      <c r="AA8" s="4">
        <v>0.055</v>
      </c>
      <c r="AB8" s="4">
        <v>0.679</v>
      </c>
      <c r="AC8" s="4">
        <v>0.744</v>
      </c>
      <c r="AD8" s="4">
        <v>0.374</v>
      </c>
      <c r="AE8" s="22">
        <v>0.497</v>
      </c>
      <c r="AF8" s="4"/>
      <c r="AG8" s="4"/>
      <c r="AH8" s="4"/>
      <c r="AI8" s="4"/>
      <c r="AJ8" s="2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</row>
    <row r="9">
      <c r="A9" s="14"/>
      <c r="B9" s="15">
        <v>0.11180688</v>
      </c>
      <c r="C9" s="15">
        <v>0.38819313</v>
      </c>
      <c r="D9" s="15"/>
      <c r="E9" s="15"/>
      <c r="F9" s="15"/>
      <c r="G9" s="17"/>
      <c r="H9" s="18">
        <v>0.1585</v>
      </c>
      <c r="I9" s="15">
        <v>0.3415</v>
      </c>
      <c r="J9" s="15"/>
      <c r="K9" s="15"/>
      <c r="L9" s="15"/>
      <c r="M9" s="17"/>
      <c r="N9" s="18">
        <v>0.28383459</v>
      </c>
      <c r="O9" s="19">
        <v>0.19172932</v>
      </c>
      <c r="P9" s="15"/>
      <c r="Q9" s="15"/>
      <c r="R9" s="15"/>
      <c r="S9" s="17"/>
      <c r="T9" s="20">
        <v>0.0668</v>
      </c>
      <c r="U9" s="4">
        <v>0.52179</v>
      </c>
      <c r="V9" s="4"/>
      <c r="W9" s="4"/>
      <c r="X9" s="4"/>
      <c r="Y9" s="22"/>
      <c r="Z9" s="20">
        <v>0.265</v>
      </c>
      <c r="AA9" s="4">
        <v>0.158</v>
      </c>
      <c r="AB9" s="4"/>
      <c r="AC9" s="4"/>
      <c r="AD9" s="4"/>
      <c r="AE9" s="22"/>
      <c r="AG9" s="4"/>
      <c r="AH9" s="4"/>
      <c r="AI9" s="4"/>
      <c r="AJ9" s="2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</row>
    <row r="10">
      <c r="A10" s="4" t="s">
        <v>21</v>
      </c>
      <c r="B10" s="15">
        <v>0.39175813</v>
      </c>
      <c r="C10" s="15">
        <v>0.10824188</v>
      </c>
      <c r="D10" s="15">
        <v>0.7946</v>
      </c>
      <c r="E10" s="15">
        <v>0.7882</v>
      </c>
      <c r="F10" s="15">
        <v>0.8057</v>
      </c>
      <c r="G10" s="17">
        <v>0.7968</v>
      </c>
      <c r="H10" s="15">
        <v>0.41</v>
      </c>
      <c r="I10" s="15">
        <v>0.09</v>
      </c>
      <c r="J10" s="15">
        <v>0.8225</v>
      </c>
      <c r="K10" s="15">
        <v>0.8211</v>
      </c>
      <c r="L10" s="15">
        <v>0.825</v>
      </c>
      <c r="M10" s="17">
        <v>0.8229</v>
      </c>
      <c r="N10" s="18">
        <v>0.41729323</v>
      </c>
      <c r="O10" s="19">
        <v>0.10714286</v>
      </c>
      <c r="P10" s="15">
        <v>0.645</v>
      </c>
      <c r="Q10" s="15">
        <v>0.6929</v>
      </c>
      <c r="R10" s="15">
        <v>0.4805</v>
      </c>
      <c r="S10" s="17">
        <v>0.5065</v>
      </c>
      <c r="T10" s="20">
        <v>0.29639</v>
      </c>
      <c r="U10" s="4">
        <v>0.1149</v>
      </c>
      <c r="V10" s="4">
        <v>0.84038</v>
      </c>
      <c r="W10" s="4">
        <v>0.8349</v>
      </c>
      <c r="X10" s="4">
        <v>0.92425</v>
      </c>
      <c r="Y10" s="22">
        <v>0.87561</v>
      </c>
      <c r="Z10" s="20">
        <v>0.52</v>
      </c>
      <c r="AA10" s="4">
        <v>0.055</v>
      </c>
      <c r="AB10" s="4">
        <v>0.682</v>
      </c>
      <c r="AC10" s="4">
        <v>0.7647</v>
      </c>
      <c r="AD10" s="4">
        <v>0.381</v>
      </c>
      <c r="AE10" s="22">
        <v>0.502</v>
      </c>
      <c r="AF10" s="4"/>
      <c r="AG10" s="4"/>
      <c r="AH10" s="4"/>
      <c r="AI10" s="4"/>
      <c r="AJ10" s="2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</row>
    <row r="11">
      <c r="A11" s="14"/>
      <c r="B11" s="15">
        <v>0.09714</v>
      </c>
      <c r="C11" s="15">
        <v>0.4028</v>
      </c>
      <c r="D11" s="15"/>
      <c r="E11" s="15"/>
      <c r="F11" s="15"/>
      <c r="G11" s="17"/>
      <c r="H11" s="15">
        <v>0.0875</v>
      </c>
      <c r="I11" s="15">
        <v>0.4125</v>
      </c>
      <c r="J11" s="24"/>
      <c r="K11" s="24"/>
      <c r="L11" s="24"/>
      <c r="M11" s="25"/>
      <c r="N11" s="18">
        <v>0.24686717</v>
      </c>
      <c r="O11" s="19">
        <v>0.22869674</v>
      </c>
      <c r="P11" s="15"/>
      <c r="Q11" s="15"/>
      <c r="R11" s="15"/>
      <c r="S11" s="17"/>
      <c r="T11" s="20">
        <v>0.0446</v>
      </c>
      <c r="U11" s="4">
        <v>0.5439</v>
      </c>
      <c r="V11" s="4"/>
      <c r="W11" s="4"/>
      <c r="X11" s="4"/>
      <c r="Y11" s="22"/>
      <c r="Z11" s="20">
        <v>0.262</v>
      </c>
      <c r="AA11" s="4">
        <v>0.161</v>
      </c>
      <c r="AB11" s="4"/>
      <c r="AC11" s="4"/>
      <c r="AD11" s="4"/>
      <c r="AE11" s="22"/>
      <c r="AF11" s="4"/>
      <c r="AG11" s="4"/>
      <c r="AH11" s="4"/>
      <c r="AI11" s="4"/>
      <c r="AJ11" s="2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</row>
    <row r="12">
      <c r="A12" s="14"/>
      <c r="B12" s="4">
        <f t="shared" ref="B12:AE12" si="1">(B4+B6+B8+B10)/4</f>
        <v>0.389481095</v>
      </c>
      <c r="C12" s="4">
        <f t="shared" si="1"/>
        <v>0.11051891</v>
      </c>
      <c r="D12" s="4">
        <f t="shared" si="1"/>
        <v>0.7801</v>
      </c>
      <c r="E12" s="4">
        <f t="shared" si="1"/>
        <v>0.77945</v>
      </c>
      <c r="F12" s="4">
        <f t="shared" si="1"/>
        <v>0.7813</v>
      </c>
      <c r="G12" s="4">
        <f t="shared" si="1"/>
        <v>0.78015</v>
      </c>
      <c r="H12" s="4">
        <f t="shared" si="1"/>
        <v>0.428</v>
      </c>
      <c r="I12" s="4">
        <f t="shared" si="1"/>
        <v>0.072</v>
      </c>
      <c r="J12" s="4">
        <f t="shared" si="1"/>
        <v>0.817375</v>
      </c>
      <c r="K12" s="4">
        <f t="shared" si="1"/>
        <v>0.846075</v>
      </c>
      <c r="L12" s="4">
        <f t="shared" si="1"/>
        <v>0.77875</v>
      </c>
      <c r="M12" s="4">
        <f t="shared" si="1"/>
        <v>0.80805</v>
      </c>
      <c r="N12" s="4">
        <f t="shared" si="1"/>
        <v>0.4232456125</v>
      </c>
      <c r="O12" s="4">
        <f t="shared" si="1"/>
        <v>0.1011904775</v>
      </c>
      <c r="P12" s="4">
        <f t="shared" si="1"/>
        <v>0.650875</v>
      </c>
      <c r="Q12" s="4">
        <f t="shared" si="1"/>
        <v>0.68514</v>
      </c>
      <c r="R12" s="4">
        <f t="shared" si="1"/>
        <v>0.479675</v>
      </c>
      <c r="S12" s="4">
        <f t="shared" si="1"/>
        <v>0.502425</v>
      </c>
      <c r="T12" s="4">
        <f t="shared" si="1"/>
        <v>0.275963515</v>
      </c>
      <c r="U12" s="4">
        <f t="shared" si="1"/>
        <v>0.1353482375</v>
      </c>
      <c r="V12" s="4">
        <f t="shared" si="1"/>
        <v>0.81122</v>
      </c>
      <c r="W12" s="4">
        <f t="shared" si="1"/>
        <v>0.807275</v>
      </c>
      <c r="X12" s="4">
        <f t="shared" si="1"/>
        <v>0.9094125</v>
      </c>
      <c r="Y12" s="4">
        <f t="shared" si="1"/>
        <v>0.8524525</v>
      </c>
      <c r="Z12" s="4">
        <f t="shared" si="1"/>
        <v>0.5205</v>
      </c>
      <c r="AA12" s="4">
        <f t="shared" si="1"/>
        <v>0.05475</v>
      </c>
      <c r="AB12" s="4">
        <f t="shared" si="1"/>
        <v>0.69825</v>
      </c>
      <c r="AC12" s="4">
        <f t="shared" si="1"/>
        <v>0.783925</v>
      </c>
      <c r="AD12" s="4">
        <f t="shared" si="1"/>
        <v>0.4195</v>
      </c>
      <c r="AE12" s="4">
        <f t="shared" si="1"/>
        <v>0.533</v>
      </c>
      <c r="AG12" s="4"/>
      <c r="AH12" s="4"/>
      <c r="AI12" s="4"/>
      <c r="AJ12" s="23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</row>
    <row r="13">
      <c r="A13" s="26"/>
      <c r="B13" s="4">
        <f t="shared" ref="B13:AE13" si="2">(B5+B7+B9+B11)/4</f>
        <v>0.1092639075</v>
      </c>
      <c r="C13" s="4">
        <f t="shared" si="2"/>
        <v>0.390721095</v>
      </c>
      <c r="D13" s="4">
        <f t="shared" si="2"/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  <c r="H13" s="4">
        <f t="shared" si="2"/>
        <v>0.110625</v>
      </c>
      <c r="I13" s="4">
        <f t="shared" si="2"/>
        <v>0.389375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0.2471804525</v>
      </c>
      <c r="O13" s="4">
        <f t="shared" si="2"/>
        <v>0.2283834575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0.053315545</v>
      </c>
      <c r="U13" s="4">
        <f t="shared" si="2"/>
        <v>0.535237405</v>
      </c>
      <c r="V13" s="4">
        <f t="shared" si="2"/>
        <v>0</v>
      </c>
      <c r="W13" s="4">
        <f t="shared" si="2"/>
        <v>0</v>
      </c>
      <c r="X13" s="4">
        <f t="shared" si="2"/>
        <v>0</v>
      </c>
      <c r="Y13" s="4">
        <f t="shared" si="2"/>
        <v>0</v>
      </c>
      <c r="Z13" s="4">
        <f t="shared" si="2"/>
        <v>0.2455</v>
      </c>
      <c r="AA13" s="4">
        <f t="shared" si="2"/>
        <v>0.1775</v>
      </c>
      <c r="AB13" s="4">
        <f t="shared" si="2"/>
        <v>0</v>
      </c>
      <c r="AC13" s="4">
        <f t="shared" si="2"/>
        <v>0</v>
      </c>
      <c r="AD13" s="4">
        <f t="shared" si="2"/>
        <v>0</v>
      </c>
      <c r="AE13" s="4">
        <f t="shared" si="2"/>
        <v>0</v>
      </c>
      <c r="AF13" s="4"/>
      <c r="AG13" s="4"/>
      <c r="AH13" s="4"/>
      <c r="AI13" s="4"/>
      <c r="AJ13" s="2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</row>
    <row r="14">
      <c r="A14" s="27" t="s">
        <v>22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4"/>
      <c r="V14" s="4"/>
      <c r="W14" s="4"/>
      <c r="X14" s="4"/>
      <c r="Y14" s="4"/>
      <c r="Z14" s="4"/>
      <c r="AA14" s="4"/>
      <c r="AE14" s="4"/>
      <c r="AF14" s="4"/>
      <c r="AG14" s="4"/>
      <c r="AH14" s="4"/>
      <c r="AI14" s="4"/>
      <c r="AJ14" s="2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</row>
    <row r="15">
      <c r="A15" s="29" t="s">
        <v>23</v>
      </c>
      <c r="AJ15" s="5"/>
    </row>
    <row r="16">
      <c r="A16" s="6"/>
      <c r="AJ16" s="5"/>
    </row>
    <row r="17">
      <c r="A17" s="6"/>
      <c r="B17" s="7" t="s">
        <v>3</v>
      </c>
      <c r="E17" s="7" t="s">
        <v>4</v>
      </c>
      <c r="H17" s="30"/>
      <c r="I17" s="7" t="s">
        <v>9</v>
      </c>
      <c r="AJ17" s="5"/>
    </row>
    <row r="18">
      <c r="B18" s="14" t="s">
        <v>24</v>
      </c>
      <c r="C18" s="14" t="s">
        <v>25</v>
      </c>
      <c r="D18" s="14" t="s">
        <v>26</v>
      </c>
      <c r="E18" s="14" t="s">
        <v>24</v>
      </c>
      <c r="F18" s="14" t="s">
        <v>25</v>
      </c>
      <c r="G18" s="14" t="s">
        <v>26</v>
      </c>
      <c r="H18" s="6"/>
      <c r="I18" s="14" t="s">
        <v>24</v>
      </c>
      <c r="J18" s="14" t="s">
        <v>25</v>
      </c>
      <c r="K18" s="14" t="s">
        <v>26</v>
      </c>
      <c r="W18" s="4" t="s">
        <v>27</v>
      </c>
      <c r="Y18" s="4" t="s">
        <v>4</v>
      </c>
      <c r="Z18" s="4" t="s">
        <v>9</v>
      </c>
      <c r="AJ18" s="5"/>
    </row>
    <row r="19">
      <c r="A19" s="31">
        <v>42989.0</v>
      </c>
      <c r="B19" s="32">
        <v>0.635311944118384</v>
      </c>
      <c r="C19" s="32"/>
      <c r="D19" s="32">
        <f t="shared" ref="D19:D82" si="3">LOOKUP(A19, $W$19:W$137,$X$19:X$137)</f>
        <v>0.6355506258</v>
      </c>
      <c r="E19" s="32">
        <v>0.372853847032073</v>
      </c>
      <c r="F19" s="32"/>
      <c r="G19" s="33">
        <f t="shared" ref="G19:G82" si="4">LOOKUP(A19, $W$19:W$137,$Y$19:Y$137)</f>
        <v>0.3886616002</v>
      </c>
      <c r="H19" s="34"/>
      <c r="I19" s="34">
        <v>0.480694702831087</v>
      </c>
      <c r="J19" s="34"/>
      <c r="K19" s="35">
        <f t="shared" ref="K19:K82" si="5">LOOKUP(A19, $W$19:W$137,$Z$19:Z$137)</f>
        <v>0.4755349588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6">
        <v>42988.0</v>
      </c>
      <c r="X19" s="4">
        <v>0.677125121179</v>
      </c>
      <c r="Y19" s="4">
        <v>0.386453635834</v>
      </c>
      <c r="Z19" s="4">
        <v>0.479472795146</v>
      </c>
      <c r="AA19" s="4"/>
      <c r="AB19" s="4"/>
      <c r="AC19" s="4"/>
      <c r="AD19" s="4"/>
      <c r="AE19" s="4"/>
      <c r="AF19" s="4"/>
      <c r="AG19" s="4"/>
      <c r="AH19" s="4"/>
      <c r="AI19" s="4"/>
      <c r="AJ19" s="2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>
      <c r="A20" s="31">
        <v>42992.0</v>
      </c>
      <c r="B20" s="32">
        <v>0.647174257211419</v>
      </c>
      <c r="C20" s="32"/>
      <c r="D20" s="32">
        <f t="shared" si="3"/>
        <v>0.7263307393</v>
      </c>
      <c r="E20" s="32">
        <v>0.383723137534731</v>
      </c>
      <c r="F20" s="32"/>
      <c r="G20" s="33">
        <f t="shared" si="4"/>
        <v>0.3799332842</v>
      </c>
      <c r="H20" s="32"/>
      <c r="I20" s="32">
        <v>0.466095878933387</v>
      </c>
      <c r="J20" s="32"/>
      <c r="K20" s="35">
        <f t="shared" si="5"/>
        <v>0.4920129724</v>
      </c>
      <c r="W20" s="36">
        <v>42989.0</v>
      </c>
      <c r="X20" s="4">
        <v>0.635550625761</v>
      </c>
      <c r="Y20" s="4">
        <v>0.388661600156</v>
      </c>
      <c r="Z20" s="4">
        <v>0.475534958788</v>
      </c>
      <c r="AJ20" s="5"/>
    </row>
    <row r="21">
      <c r="A21" s="31">
        <v>42995.0</v>
      </c>
      <c r="B21" s="32">
        <v>0.659165110107469</v>
      </c>
      <c r="C21" s="32"/>
      <c r="D21" s="32">
        <f t="shared" si="3"/>
        <v>0.728719236</v>
      </c>
      <c r="E21" s="32">
        <v>0.387694127290415</v>
      </c>
      <c r="F21" s="32"/>
      <c r="G21" s="33">
        <f t="shared" si="4"/>
        <v>0.3917675689</v>
      </c>
      <c r="H21" s="32"/>
      <c r="I21" s="32">
        <v>0.477737440671413</v>
      </c>
      <c r="J21" s="32"/>
      <c r="K21" s="35">
        <f t="shared" si="5"/>
        <v>0.4830557098</v>
      </c>
      <c r="W21" s="36">
        <v>42991.0</v>
      </c>
      <c r="X21" s="4">
        <v>0.645186567059</v>
      </c>
      <c r="Y21" s="4">
        <v>0.381637458014</v>
      </c>
      <c r="Z21" s="4">
        <v>0.487972542531</v>
      </c>
      <c r="AJ21" s="5"/>
    </row>
    <row r="22">
      <c r="A22" s="31">
        <v>42998.0</v>
      </c>
      <c r="B22" s="32">
        <v>0.604320185899971</v>
      </c>
      <c r="C22" s="33"/>
      <c r="D22" s="32">
        <f t="shared" si="3"/>
        <v>0.6975365449</v>
      </c>
      <c r="E22" s="32">
        <v>0.389784393114587</v>
      </c>
      <c r="F22" s="32"/>
      <c r="G22" s="33">
        <f t="shared" si="4"/>
        <v>0.3801675928</v>
      </c>
      <c r="H22" s="32"/>
      <c r="I22" s="32">
        <v>0.469296286292111</v>
      </c>
      <c r="J22" s="32"/>
      <c r="K22" s="35">
        <f t="shared" si="5"/>
        <v>0.493719329</v>
      </c>
      <c r="W22" s="36">
        <v>42992.0</v>
      </c>
      <c r="X22" s="4">
        <v>0.726330739258</v>
      </c>
      <c r="Y22" s="4">
        <v>0.379933284164</v>
      </c>
      <c r="Z22" s="4">
        <v>0.492012972393</v>
      </c>
      <c r="AJ22" s="5"/>
    </row>
    <row r="23">
      <c r="A23" s="31">
        <v>43001.0</v>
      </c>
      <c r="B23" s="32">
        <v>0.659075731400183</v>
      </c>
      <c r="C23" s="32"/>
      <c r="D23" s="32">
        <f t="shared" si="3"/>
        <v>0.6648473016</v>
      </c>
      <c r="E23" s="32">
        <v>0.392404759411591</v>
      </c>
      <c r="F23" s="32"/>
      <c r="G23" s="33">
        <f t="shared" si="4"/>
        <v>0.4043809931</v>
      </c>
      <c r="H23" s="32"/>
      <c r="I23" s="32">
        <v>0.47922828800975</v>
      </c>
      <c r="J23" s="32"/>
      <c r="K23" s="35">
        <f t="shared" si="5"/>
        <v>0.492127951</v>
      </c>
      <c r="W23" s="36">
        <v>42994.0</v>
      </c>
      <c r="X23" s="4">
        <v>0.692719879591</v>
      </c>
      <c r="Y23" s="4">
        <v>0.385355945422</v>
      </c>
      <c r="Z23" s="4">
        <v>0.488372314918</v>
      </c>
      <c r="AJ23" s="5"/>
    </row>
    <row r="24">
      <c r="A24" s="31">
        <v>43004.0</v>
      </c>
      <c r="B24" s="32">
        <v>0.660981546252513</v>
      </c>
      <c r="C24" s="32"/>
      <c r="D24" s="32">
        <f t="shared" si="3"/>
        <v>0.6808013958</v>
      </c>
      <c r="E24" s="32">
        <v>0.384686465693092</v>
      </c>
      <c r="F24" s="32"/>
      <c r="G24" s="33">
        <f t="shared" si="4"/>
        <v>0.3880922999</v>
      </c>
      <c r="H24" s="32"/>
      <c r="I24" s="32">
        <v>0.480503043269181</v>
      </c>
      <c r="J24" s="32"/>
      <c r="K24" s="35">
        <f t="shared" si="5"/>
        <v>0.4819239129</v>
      </c>
      <c r="W24" s="36">
        <v>42995.0</v>
      </c>
      <c r="X24" s="4">
        <v>0.728719235984</v>
      </c>
      <c r="Y24" s="4">
        <v>0.391767568888</v>
      </c>
      <c r="Z24" s="4">
        <v>0.483055709789</v>
      </c>
      <c r="AJ24" s="5"/>
    </row>
    <row r="25">
      <c r="A25" s="31">
        <v>43007.0</v>
      </c>
      <c r="B25" s="32">
        <v>0.650519028969563</v>
      </c>
      <c r="C25" s="32"/>
      <c r="D25" s="32">
        <f t="shared" si="3"/>
        <v>0.6469604146</v>
      </c>
      <c r="E25" s="32">
        <v>0.375710975587694</v>
      </c>
      <c r="F25" s="32"/>
      <c r="G25" s="33">
        <f t="shared" si="4"/>
        <v>0.38505128</v>
      </c>
      <c r="H25" s="32"/>
      <c r="I25" s="32">
        <v>0.476794162468917</v>
      </c>
      <c r="J25" s="32"/>
      <c r="K25" s="35">
        <f t="shared" si="5"/>
        <v>0.4817951103</v>
      </c>
      <c r="W25" s="36">
        <v>42997.0</v>
      </c>
      <c r="X25" s="4">
        <v>0.682748738608</v>
      </c>
      <c r="Y25" s="4">
        <v>0.384913038034</v>
      </c>
      <c r="Z25" s="4">
        <v>0.48207339377</v>
      </c>
      <c r="AJ25" s="5"/>
    </row>
    <row r="26">
      <c r="A26" s="31">
        <v>43010.0</v>
      </c>
      <c r="B26" s="32">
        <v>0.644938299986652</v>
      </c>
      <c r="C26" s="32"/>
      <c r="D26" s="32">
        <f t="shared" si="3"/>
        <v>0.6627970133</v>
      </c>
      <c r="E26" s="32">
        <v>0.413943041601936</v>
      </c>
      <c r="F26" s="32"/>
      <c r="G26" s="33">
        <f t="shared" si="4"/>
        <v>0.3800673074</v>
      </c>
      <c r="H26" s="32"/>
      <c r="I26" s="32">
        <v>0.464970460757152</v>
      </c>
      <c r="J26" s="32"/>
      <c r="K26" s="35">
        <f t="shared" si="5"/>
        <v>0.4924721616</v>
      </c>
      <c r="W26" s="36">
        <v>42998.0</v>
      </c>
      <c r="X26" s="4">
        <v>0.697536544864</v>
      </c>
      <c r="Y26" s="4">
        <v>0.380167592757</v>
      </c>
      <c r="Z26" s="4">
        <v>0.493719329034</v>
      </c>
      <c r="AJ26" s="5"/>
    </row>
    <row r="27">
      <c r="A27" s="31">
        <v>43013.0</v>
      </c>
      <c r="B27" s="32">
        <v>0.644341250378947</v>
      </c>
      <c r="C27" s="32"/>
      <c r="D27" s="32">
        <f t="shared" si="3"/>
        <v>0.6821871639</v>
      </c>
      <c r="E27" s="32">
        <v>0.395895391406608</v>
      </c>
      <c r="F27" s="32"/>
      <c r="G27" s="33">
        <f t="shared" si="4"/>
        <v>0.3744814734</v>
      </c>
      <c r="H27" s="32"/>
      <c r="I27" s="32">
        <v>0.478039763781222</v>
      </c>
      <c r="J27" s="32"/>
      <c r="K27" s="35">
        <f t="shared" si="5"/>
        <v>0.4904086066</v>
      </c>
      <c r="W27" s="36">
        <v>43000.0</v>
      </c>
      <c r="X27" s="4">
        <v>0.629907669917</v>
      </c>
      <c r="Y27" s="4">
        <v>0.381709270246</v>
      </c>
      <c r="Z27" s="4">
        <v>0.482838388334</v>
      </c>
      <c r="AJ27" s="5"/>
    </row>
    <row r="28">
      <c r="A28" s="31">
        <v>43016.0</v>
      </c>
      <c r="B28" s="32">
        <v>0.717329633720876</v>
      </c>
      <c r="C28" s="32"/>
      <c r="D28" s="32">
        <f t="shared" si="3"/>
        <v>0.6807352782</v>
      </c>
      <c r="E28" s="32">
        <v>0.383593310967679</v>
      </c>
      <c r="F28" s="32"/>
      <c r="G28" s="33">
        <f t="shared" si="4"/>
        <v>0.3743502199</v>
      </c>
      <c r="H28" s="32"/>
      <c r="I28" s="32">
        <v>0.486627135421853</v>
      </c>
      <c r="J28" s="32"/>
      <c r="K28" s="35">
        <f t="shared" si="5"/>
        <v>0.4892313377</v>
      </c>
      <c r="W28" s="36">
        <v>43001.0</v>
      </c>
      <c r="X28" s="4">
        <v>0.664847301565</v>
      </c>
      <c r="Y28" s="4">
        <v>0.404380993143</v>
      </c>
      <c r="Z28" s="4">
        <v>0.492127951046</v>
      </c>
      <c r="AJ28" s="5"/>
    </row>
    <row r="29">
      <c r="A29" s="31">
        <v>43019.0</v>
      </c>
      <c r="B29" s="32">
        <v>0.624375839063462</v>
      </c>
      <c r="C29" s="32"/>
      <c r="D29" s="32">
        <f t="shared" si="3"/>
        <v>0.6259878932</v>
      </c>
      <c r="E29" s="32">
        <v>0.384952393541935</v>
      </c>
      <c r="F29" s="32"/>
      <c r="G29" s="33">
        <f t="shared" si="4"/>
        <v>0.3829020644</v>
      </c>
      <c r="H29" s="32"/>
      <c r="I29" s="32">
        <v>0.478831133543963</v>
      </c>
      <c r="J29" s="32"/>
      <c r="K29" s="35">
        <f t="shared" si="5"/>
        <v>0.4776006464</v>
      </c>
      <c r="W29" s="36">
        <v>43003.0</v>
      </c>
      <c r="X29" s="4">
        <v>0.711515391437</v>
      </c>
      <c r="Y29" s="4">
        <v>0.396334037114</v>
      </c>
      <c r="Z29" s="4">
        <v>0.480049287407</v>
      </c>
      <c r="AJ29" s="5"/>
    </row>
    <row r="30">
      <c r="A30" s="31">
        <v>43022.0</v>
      </c>
      <c r="B30" s="32">
        <v>0.662252968108812</v>
      </c>
      <c r="C30" s="32"/>
      <c r="D30" s="32">
        <f t="shared" si="3"/>
        <v>0.625166321</v>
      </c>
      <c r="E30" s="32">
        <v>0.383745585453645</v>
      </c>
      <c r="F30" s="32"/>
      <c r="G30" s="33">
        <f t="shared" si="4"/>
        <v>0.3945219101</v>
      </c>
      <c r="H30" s="32"/>
      <c r="I30" s="32">
        <v>0.46787788375236</v>
      </c>
      <c r="J30" s="32"/>
      <c r="K30" s="35">
        <f t="shared" si="5"/>
        <v>0.4814265923</v>
      </c>
      <c r="W30" s="36">
        <v>43004.0</v>
      </c>
      <c r="X30" s="4">
        <v>0.680801395829</v>
      </c>
      <c r="Y30" s="4">
        <v>0.38809229988</v>
      </c>
      <c r="Z30" s="4">
        <v>0.481923912906</v>
      </c>
      <c r="AJ30" s="5"/>
    </row>
    <row r="31">
      <c r="A31" s="31">
        <v>43025.0</v>
      </c>
      <c r="B31" s="32">
        <v>0.67493453698755</v>
      </c>
      <c r="C31" s="32"/>
      <c r="D31" s="32">
        <f t="shared" si="3"/>
        <v>0.6358660349</v>
      </c>
      <c r="E31" s="32">
        <v>0.395346703536423</v>
      </c>
      <c r="F31" s="32"/>
      <c r="G31" s="33">
        <f t="shared" si="4"/>
        <v>0.3832629661</v>
      </c>
      <c r="H31" s="32"/>
      <c r="I31" s="32">
        <v>0.472156134925676</v>
      </c>
      <c r="J31" s="32"/>
      <c r="K31" s="35">
        <f t="shared" si="5"/>
        <v>0.4821946542</v>
      </c>
      <c r="W31" s="36">
        <v>43006.0</v>
      </c>
      <c r="X31" s="4">
        <v>0.691176799107</v>
      </c>
      <c r="Y31" s="4">
        <v>0.38448344352</v>
      </c>
      <c r="Z31" s="4">
        <v>0.485146387787</v>
      </c>
      <c r="AJ31" s="5"/>
    </row>
    <row r="32">
      <c r="A32" s="31">
        <v>43028.0</v>
      </c>
      <c r="B32" s="32">
        <v>0.66491007179451</v>
      </c>
      <c r="C32" s="32"/>
      <c r="D32" s="32">
        <f t="shared" si="3"/>
        <v>0.6358392785</v>
      </c>
      <c r="E32" s="32">
        <v>0.387671745791551</v>
      </c>
      <c r="F32" s="32"/>
      <c r="G32" s="33">
        <f t="shared" si="4"/>
        <v>0.3668181853</v>
      </c>
      <c r="H32" s="32"/>
      <c r="I32" s="32">
        <v>0.480991967034498</v>
      </c>
      <c r="J32" s="32"/>
      <c r="K32" s="35">
        <f t="shared" si="5"/>
        <v>0.4916701718</v>
      </c>
      <c r="W32" s="36">
        <v>43007.0</v>
      </c>
      <c r="X32" s="4">
        <v>0.646960414608</v>
      </c>
      <c r="Y32" s="4">
        <v>0.385051280026</v>
      </c>
      <c r="Z32" s="4">
        <v>0.481795110319</v>
      </c>
      <c r="AJ32" s="5"/>
    </row>
    <row r="33">
      <c r="A33" s="31">
        <v>43031.0</v>
      </c>
      <c r="B33" s="32">
        <v>0.648912997006085</v>
      </c>
      <c r="C33" s="33"/>
      <c r="D33" s="32">
        <f t="shared" si="3"/>
        <v>0.662794074</v>
      </c>
      <c r="E33" s="32">
        <v>0.402551227821708</v>
      </c>
      <c r="F33" s="32"/>
      <c r="G33" s="33">
        <f t="shared" si="4"/>
        <v>0.3662459009</v>
      </c>
      <c r="H33" s="32"/>
      <c r="I33" s="32">
        <v>0.482029039153057</v>
      </c>
      <c r="J33" s="32"/>
      <c r="K33" s="35">
        <f t="shared" si="5"/>
        <v>0.4823790784</v>
      </c>
      <c r="W33" s="36">
        <v>43009.0</v>
      </c>
      <c r="X33" s="4">
        <v>0.60003322093</v>
      </c>
      <c r="Y33" s="4">
        <v>0.371236615573</v>
      </c>
      <c r="Z33" s="4">
        <v>0.475309059412</v>
      </c>
      <c r="AJ33" s="5"/>
    </row>
    <row r="34">
      <c r="A34" s="31">
        <v>43034.0</v>
      </c>
      <c r="B34" s="32">
        <v>0.689235687990929</v>
      </c>
      <c r="C34" s="32"/>
      <c r="D34" s="32">
        <f t="shared" si="3"/>
        <v>0.6614766133</v>
      </c>
      <c r="E34" s="32">
        <v>0.388072687680482</v>
      </c>
      <c r="F34" s="32"/>
      <c r="G34" s="33">
        <f t="shared" si="4"/>
        <v>0.3826809159</v>
      </c>
      <c r="H34" s="32"/>
      <c r="I34" s="32">
        <v>0.473991129735647</v>
      </c>
      <c r="J34" s="32"/>
      <c r="K34" s="35">
        <f t="shared" si="5"/>
        <v>0.4808093767</v>
      </c>
      <c r="W34" s="36">
        <v>43010.0</v>
      </c>
      <c r="X34" s="4">
        <v>0.662797013329</v>
      </c>
      <c r="Y34" s="4">
        <v>0.380067307413</v>
      </c>
      <c r="Z34" s="4">
        <v>0.492472161645</v>
      </c>
      <c r="AJ34" s="5"/>
    </row>
    <row r="35">
      <c r="A35" s="31">
        <v>43037.0</v>
      </c>
      <c r="B35" s="32">
        <v>0.629488353159006</v>
      </c>
      <c r="C35" s="32"/>
      <c r="D35" s="32">
        <f t="shared" si="3"/>
        <v>0.6455302368</v>
      </c>
      <c r="E35" s="32">
        <v>0.378967379649977</v>
      </c>
      <c r="F35" s="32"/>
      <c r="G35" s="33">
        <f t="shared" si="4"/>
        <v>0.3920649945</v>
      </c>
      <c r="H35" s="32"/>
      <c r="I35" s="32">
        <v>0.478243358211992</v>
      </c>
      <c r="J35" s="32"/>
      <c r="K35" s="35">
        <f t="shared" si="5"/>
        <v>0.4881264719</v>
      </c>
      <c r="W35" s="36">
        <v>43012.0</v>
      </c>
      <c r="X35" s="4">
        <v>0.685529960128</v>
      </c>
      <c r="Y35" s="4">
        <v>0.377675189416</v>
      </c>
      <c r="Z35" s="4">
        <v>0.488778690028</v>
      </c>
      <c r="AJ35" s="5"/>
    </row>
    <row r="36">
      <c r="A36" s="31">
        <v>43040.0</v>
      </c>
      <c r="B36" s="32">
        <v>0.675804892443809</v>
      </c>
      <c r="C36" s="32"/>
      <c r="D36" s="32">
        <f t="shared" si="3"/>
        <v>0.6885478207</v>
      </c>
      <c r="E36" s="32">
        <v>0.38702769771709</v>
      </c>
      <c r="F36" s="32"/>
      <c r="G36" s="33">
        <f t="shared" si="4"/>
        <v>0.3690787821</v>
      </c>
      <c r="H36" s="32"/>
      <c r="I36" s="32">
        <v>0.484083088526405</v>
      </c>
      <c r="J36" s="32"/>
      <c r="K36" s="35">
        <f t="shared" si="5"/>
        <v>0.4989328444</v>
      </c>
      <c r="W36" s="36">
        <v>43013.0</v>
      </c>
      <c r="X36" s="4">
        <v>0.682187163902</v>
      </c>
      <c r="Y36" s="4">
        <v>0.374481473405</v>
      </c>
      <c r="Z36" s="4">
        <v>0.490408606635</v>
      </c>
      <c r="AJ36" s="5"/>
    </row>
    <row r="37">
      <c r="A37" s="31">
        <v>43043.0</v>
      </c>
      <c r="B37" s="32">
        <v>0.637701203869749</v>
      </c>
      <c r="C37" s="32"/>
      <c r="D37" s="32">
        <f t="shared" si="3"/>
        <v>0.7212639603</v>
      </c>
      <c r="E37" s="32">
        <v>0.386245450486603</v>
      </c>
      <c r="F37" s="32"/>
      <c r="G37" s="33">
        <f t="shared" si="4"/>
        <v>0.3986167603</v>
      </c>
      <c r="H37" s="32"/>
      <c r="I37" s="32">
        <v>0.474261181637386</v>
      </c>
      <c r="J37" s="32"/>
      <c r="K37" s="35">
        <f t="shared" si="5"/>
        <v>0.4736099983</v>
      </c>
      <c r="W37" s="36">
        <v>43015.0</v>
      </c>
      <c r="X37" s="4">
        <v>0.557576691021</v>
      </c>
      <c r="Y37" s="4">
        <v>0.374011008349</v>
      </c>
      <c r="Z37" s="4">
        <v>0.477114900092</v>
      </c>
      <c r="AJ37" s="5"/>
    </row>
    <row r="38">
      <c r="A38" s="31">
        <v>43046.0</v>
      </c>
      <c r="B38" s="32">
        <v>0.681705503744352</v>
      </c>
      <c r="C38" s="32"/>
      <c r="D38" s="32">
        <f t="shared" si="3"/>
        <v>0.7228523413</v>
      </c>
      <c r="E38" s="32">
        <v>0.379203034469702</v>
      </c>
      <c r="F38" s="32"/>
      <c r="G38" s="33">
        <f t="shared" si="4"/>
        <v>0.3861921077</v>
      </c>
      <c r="H38" s="32"/>
      <c r="I38" s="32">
        <v>0.463588186456285</v>
      </c>
      <c r="J38" s="32"/>
      <c r="K38" s="35">
        <f t="shared" si="5"/>
        <v>0.4788774505</v>
      </c>
      <c r="W38" s="36">
        <v>43016.0</v>
      </c>
      <c r="X38" s="4">
        <v>0.680735278232</v>
      </c>
      <c r="Y38" s="4">
        <v>0.374350219916</v>
      </c>
      <c r="Z38" s="4">
        <v>0.489231337696</v>
      </c>
      <c r="AJ38" s="5"/>
    </row>
    <row r="39">
      <c r="A39" s="31">
        <v>43049.0</v>
      </c>
      <c r="B39" s="32">
        <v>0.539706659053609</v>
      </c>
      <c r="C39" s="32"/>
      <c r="D39" s="32">
        <f t="shared" si="3"/>
        <v>0.6126021273</v>
      </c>
      <c r="E39" s="32">
        <v>0.37696901047465</v>
      </c>
      <c r="F39" s="32"/>
      <c r="G39" s="33">
        <f t="shared" si="4"/>
        <v>0.3744298664</v>
      </c>
      <c r="H39" s="32"/>
      <c r="I39" s="32">
        <v>0.44616245140267</v>
      </c>
      <c r="J39" s="32"/>
      <c r="K39" s="35">
        <f t="shared" si="5"/>
        <v>0.4813583485</v>
      </c>
      <c r="W39" s="36">
        <v>43018.0</v>
      </c>
      <c r="X39" s="4">
        <v>0.648967325898</v>
      </c>
      <c r="Y39" s="4">
        <v>0.371707940056</v>
      </c>
      <c r="Z39" s="4">
        <v>0.481759441111</v>
      </c>
      <c r="AJ39" s="5"/>
    </row>
    <row r="40">
      <c r="A40" s="31">
        <v>43052.0</v>
      </c>
      <c r="B40" s="32">
        <v>0.626542352882393</v>
      </c>
      <c r="C40" s="32"/>
      <c r="D40" s="32">
        <f t="shared" si="3"/>
        <v>0.7317281938</v>
      </c>
      <c r="E40" s="32">
        <v>0.395281047768925</v>
      </c>
      <c r="F40" s="32"/>
      <c r="G40" s="33">
        <f t="shared" si="4"/>
        <v>0.3778804273</v>
      </c>
      <c r="H40" s="32"/>
      <c r="I40" s="32">
        <v>0.478892518144122</v>
      </c>
      <c r="J40" s="32"/>
      <c r="K40" s="35">
        <f t="shared" si="5"/>
        <v>0.4846869391</v>
      </c>
      <c r="W40" s="36">
        <v>43019.0</v>
      </c>
      <c r="X40" s="4">
        <v>0.625987893188</v>
      </c>
      <c r="Y40" s="4">
        <v>0.382902064418</v>
      </c>
      <c r="Z40" s="4">
        <v>0.477600646432</v>
      </c>
      <c r="AJ40" s="5"/>
    </row>
    <row r="41">
      <c r="A41" s="31">
        <v>43055.0</v>
      </c>
      <c r="B41" s="32">
        <v>0.6883732549633</v>
      </c>
      <c r="C41" s="33">
        <v>0.763960830151174</v>
      </c>
      <c r="D41" s="32">
        <f t="shared" si="3"/>
        <v>0.6540605134</v>
      </c>
      <c r="E41" s="32">
        <v>0.397208786654909</v>
      </c>
      <c r="F41" s="32">
        <v>0.368462932639857</v>
      </c>
      <c r="G41" s="33">
        <f t="shared" si="4"/>
        <v>0.3743635558</v>
      </c>
      <c r="H41" s="32"/>
      <c r="I41" s="32">
        <v>0.477940980776569</v>
      </c>
      <c r="J41" s="32">
        <v>0.500077126728159</v>
      </c>
      <c r="K41" s="35">
        <f t="shared" si="5"/>
        <v>0.4895379778</v>
      </c>
      <c r="W41" s="36">
        <v>43021.0</v>
      </c>
      <c r="X41" s="4">
        <v>0.711810910252</v>
      </c>
      <c r="Y41" s="4">
        <v>0.391229277565</v>
      </c>
      <c r="Z41" s="4">
        <v>0.469811151572</v>
      </c>
      <c r="AJ41" s="5"/>
    </row>
    <row r="42">
      <c r="A42" s="31">
        <v>43058.0</v>
      </c>
      <c r="B42" s="32">
        <v>0.645967009663163</v>
      </c>
      <c r="C42" s="32">
        <v>0.706894561577145</v>
      </c>
      <c r="D42" s="32">
        <f t="shared" si="3"/>
        <v>0.7328454972</v>
      </c>
      <c r="E42" s="32">
        <v>0.385449707750394</v>
      </c>
      <c r="F42" s="32">
        <v>0.387172331132064</v>
      </c>
      <c r="G42" s="33">
        <f t="shared" si="4"/>
        <v>0.382152404</v>
      </c>
      <c r="H42" s="32"/>
      <c r="I42" s="32">
        <v>0.480069802927955</v>
      </c>
      <c r="J42" s="32">
        <v>0.512085382816064</v>
      </c>
      <c r="K42" s="35">
        <f t="shared" si="5"/>
        <v>0.4871309381</v>
      </c>
      <c r="W42" s="36">
        <v>43022.0</v>
      </c>
      <c r="X42" s="4">
        <v>0.625166321046</v>
      </c>
      <c r="Y42" s="4">
        <v>0.394521910149</v>
      </c>
      <c r="Z42" s="4">
        <v>0.481426592333</v>
      </c>
      <c r="AJ42" s="5"/>
    </row>
    <row r="43">
      <c r="A43" s="31">
        <v>43061.0</v>
      </c>
      <c r="B43" s="32">
        <v>0.633970996147912</v>
      </c>
      <c r="C43" s="32">
        <v>0.689977586762901</v>
      </c>
      <c r="D43" s="32">
        <f t="shared" si="3"/>
        <v>0.7076821598</v>
      </c>
      <c r="E43" s="32">
        <v>0.381051594960525</v>
      </c>
      <c r="F43" s="32">
        <v>0.391420462654715</v>
      </c>
      <c r="G43" s="33">
        <f t="shared" si="4"/>
        <v>0.3793377338</v>
      </c>
      <c r="H43" s="32"/>
      <c r="I43" s="32">
        <v>0.464413111443248</v>
      </c>
      <c r="J43" s="32">
        <v>0.506689493654366</v>
      </c>
      <c r="K43" s="35">
        <f t="shared" si="5"/>
        <v>0.4981196961</v>
      </c>
      <c r="W43" s="36">
        <v>43024.0</v>
      </c>
      <c r="X43" s="4">
        <v>0.65609156227</v>
      </c>
      <c r="Y43" s="4">
        <v>0.380547610901</v>
      </c>
      <c r="Z43" s="4">
        <v>0.482525421784</v>
      </c>
      <c r="AJ43" s="5"/>
    </row>
    <row r="44">
      <c r="A44" s="31">
        <v>43064.0</v>
      </c>
      <c r="B44" s="32">
        <v>0.678655280911735</v>
      </c>
      <c r="C44" s="32">
        <v>0.696071025836084</v>
      </c>
      <c r="D44" s="32">
        <f t="shared" si="3"/>
        <v>0.6305273635</v>
      </c>
      <c r="E44" s="32">
        <v>0.382167153053406</v>
      </c>
      <c r="F44" s="32">
        <v>0.398331270919834</v>
      </c>
      <c r="G44" s="33">
        <f t="shared" si="4"/>
        <v>0.3731917486</v>
      </c>
      <c r="H44" s="32"/>
      <c r="I44" s="32">
        <v>0.481981673623968</v>
      </c>
      <c r="J44" s="32">
        <v>0.508208476256021</v>
      </c>
      <c r="K44" s="35">
        <f t="shared" si="5"/>
        <v>0.4723107896</v>
      </c>
      <c r="W44" s="36">
        <v>43025.0</v>
      </c>
      <c r="X44" s="4">
        <v>0.635866034917</v>
      </c>
      <c r="Y44" s="4">
        <v>0.383262966125</v>
      </c>
      <c r="Z44" s="4">
        <v>0.482194654246</v>
      </c>
      <c r="AJ44" s="5"/>
    </row>
    <row r="45">
      <c r="A45" s="31">
        <v>43067.0</v>
      </c>
      <c r="B45" s="32">
        <v>0.648286114344276</v>
      </c>
      <c r="C45" s="32">
        <v>0.711233722535871</v>
      </c>
      <c r="D45" s="32">
        <f t="shared" si="3"/>
        <v>0.6439593262</v>
      </c>
      <c r="E45" s="32">
        <v>0.388513176447391</v>
      </c>
      <c r="F45" s="32">
        <v>0.395328363479144</v>
      </c>
      <c r="G45" s="33">
        <f t="shared" si="4"/>
        <v>0.3854468335</v>
      </c>
      <c r="H45" s="32"/>
      <c r="I45" s="32">
        <v>0.468116461843893</v>
      </c>
      <c r="J45" s="32">
        <v>0.519858306093105</v>
      </c>
      <c r="K45" s="35">
        <f t="shared" si="5"/>
        <v>0.4775677871</v>
      </c>
      <c r="W45" s="36">
        <v>43027.0</v>
      </c>
      <c r="X45" s="4">
        <v>0.656968914112</v>
      </c>
      <c r="Y45" s="4">
        <v>0.39018762289</v>
      </c>
      <c r="Z45" s="4">
        <v>0.489012647912</v>
      </c>
      <c r="AJ45" s="5"/>
    </row>
    <row r="46">
      <c r="A46" s="31">
        <v>43070.0</v>
      </c>
      <c r="B46" s="32">
        <v>0.620309322080326</v>
      </c>
      <c r="C46" s="32">
        <v>0.651856298170767</v>
      </c>
      <c r="D46" s="32">
        <f t="shared" si="3"/>
        <v>0.7204600775</v>
      </c>
      <c r="E46" s="32">
        <v>0.363298623810621</v>
      </c>
      <c r="F46" s="32">
        <v>0.383563795838301</v>
      </c>
      <c r="G46" s="33">
        <f t="shared" si="4"/>
        <v>0.364214393</v>
      </c>
      <c r="H46" s="32"/>
      <c r="I46" s="32">
        <v>0.463744476219523</v>
      </c>
      <c r="J46" s="32">
        <v>0.508750996741342</v>
      </c>
      <c r="K46" s="35">
        <f t="shared" si="5"/>
        <v>0.4888447229</v>
      </c>
      <c r="W46" s="36">
        <v>43028.0</v>
      </c>
      <c r="X46" s="4">
        <v>0.63583927851</v>
      </c>
      <c r="Y46" s="4">
        <v>0.366818185318</v>
      </c>
      <c r="Z46" s="4">
        <v>0.491670171824</v>
      </c>
      <c r="AJ46" s="5"/>
    </row>
    <row r="47">
      <c r="A47" s="31">
        <v>43073.0</v>
      </c>
      <c r="B47" s="32">
        <v>0.609123654518404</v>
      </c>
      <c r="C47" s="32">
        <v>0.703705146120814</v>
      </c>
      <c r="D47" s="32">
        <f t="shared" si="3"/>
        <v>0.6153433955</v>
      </c>
      <c r="E47" s="32">
        <v>0.381602124068474</v>
      </c>
      <c r="F47" s="32">
        <v>0.385380057114706</v>
      </c>
      <c r="G47" s="33">
        <f t="shared" si="4"/>
        <v>0.3635239128</v>
      </c>
      <c r="H47" s="32"/>
      <c r="I47" s="32">
        <v>0.466841477925113</v>
      </c>
      <c r="J47" s="32">
        <v>0.511500024302656</v>
      </c>
      <c r="K47" s="35">
        <f t="shared" si="5"/>
        <v>0.4825172376</v>
      </c>
      <c r="W47" s="36">
        <v>43030.0</v>
      </c>
      <c r="X47" s="4">
        <v>0.682616820277</v>
      </c>
      <c r="Y47" s="4">
        <v>0.375650675344</v>
      </c>
      <c r="Z47" s="4">
        <v>0.478715678958</v>
      </c>
      <c r="AJ47" s="5"/>
    </row>
    <row r="48">
      <c r="A48" s="31">
        <v>43076.0</v>
      </c>
      <c r="B48" s="32">
        <v>0.579636879052108</v>
      </c>
      <c r="C48" s="32">
        <v>0.675880421984684</v>
      </c>
      <c r="D48" s="32">
        <f t="shared" si="3"/>
        <v>0.6744491522</v>
      </c>
      <c r="E48" s="32">
        <v>0.385151356616947</v>
      </c>
      <c r="F48" s="32">
        <v>0.39606340403189</v>
      </c>
      <c r="G48" s="33">
        <f t="shared" si="4"/>
        <v>0.3979225525</v>
      </c>
      <c r="H48" s="32"/>
      <c r="I48" s="32">
        <v>0.470220350178327</v>
      </c>
      <c r="J48" s="32">
        <v>0.498548259658301</v>
      </c>
      <c r="K48" s="35">
        <f t="shared" si="5"/>
        <v>0.4840193358</v>
      </c>
      <c r="W48" s="36">
        <v>43031.0</v>
      </c>
      <c r="X48" s="4">
        <v>0.662794074041</v>
      </c>
      <c r="Y48" s="4">
        <v>0.36624590094</v>
      </c>
      <c r="Z48" s="4">
        <v>0.482379078439</v>
      </c>
      <c r="AJ48" s="5"/>
    </row>
    <row r="49">
      <c r="A49" s="31">
        <v>43079.0</v>
      </c>
      <c r="B49" s="32">
        <v>0.657566743531406</v>
      </c>
      <c r="C49" s="32">
        <v>0.669264374485276</v>
      </c>
      <c r="D49" s="32">
        <f t="shared" si="3"/>
        <v>0.6521309031</v>
      </c>
      <c r="E49" s="32">
        <v>0.382511415236355</v>
      </c>
      <c r="F49" s="32">
        <v>0.397238521732974</v>
      </c>
      <c r="G49" s="33">
        <f t="shared" si="4"/>
        <v>0.3900197562</v>
      </c>
      <c r="H49" s="32"/>
      <c r="I49" s="32">
        <v>0.481563113367491</v>
      </c>
      <c r="J49" s="32">
        <v>0.511623505687991</v>
      </c>
      <c r="K49" s="35">
        <f t="shared" si="5"/>
        <v>0.4840048278</v>
      </c>
      <c r="W49" s="36">
        <v>43033.0</v>
      </c>
      <c r="X49" s="4">
        <v>0.668379114374</v>
      </c>
      <c r="Y49" s="4">
        <v>0.381268394107</v>
      </c>
      <c r="Z49" s="4">
        <v>0.491912116584</v>
      </c>
      <c r="AJ49" s="5"/>
    </row>
    <row r="50">
      <c r="A50" s="31">
        <v>43082.0</v>
      </c>
      <c r="B50" s="32">
        <v>0.632474592903076</v>
      </c>
      <c r="C50" s="32">
        <v>0.668290970211293</v>
      </c>
      <c r="D50" s="32">
        <f t="shared" si="3"/>
        <v>0.7036191449</v>
      </c>
      <c r="E50" s="32">
        <v>0.372610090376697</v>
      </c>
      <c r="F50" s="32">
        <v>0.381291594312265</v>
      </c>
      <c r="G50" s="33">
        <f t="shared" si="4"/>
        <v>0.3828091998</v>
      </c>
      <c r="H50" s="32"/>
      <c r="I50" s="32">
        <v>0.471938853255539</v>
      </c>
      <c r="J50" s="32">
        <v>0.520219550022717</v>
      </c>
      <c r="K50" s="35">
        <f t="shared" si="5"/>
        <v>0.4509058051</v>
      </c>
      <c r="W50" s="36">
        <v>43034.0</v>
      </c>
      <c r="X50" s="4">
        <v>0.661476613334</v>
      </c>
      <c r="Y50" s="4">
        <v>0.38268091586</v>
      </c>
      <c r="Z50" s="4">
        <v>0.480809376684</v>
      </c>
      <c r="AJ50" s="5"/>
    </row>
    <row r="51">
      <c r="A51" s="31">
        <v>43085.0</v>
      </c>
      <c r="B51" s="32">
        <v>0.638818288600837</v>
      </c>
      <c r="C51" s="32">
        <v>0.642810235790581</v>
      </c>
      <c r="D51" s="32">
        <f t="shared" si="3"/>
        <v>0.6273025077</v>
      </c>
      <c r="E51" s="32">
        <v>0.378925778332141</v>
      </c>
      <c r="F51" s="32">
        <v>0.386661604621525</v>
      </c>
      <c r="G51" s="33">
        <f t="shared" si="4"/>
        <v>0.3721323589</v>
      </c>
      <c r="H51" s="32"/>
      <c r="I51" s="32">
        <v>0.462709341974706</v>
      </c>
      <c r="J51" s="32">
        <v>0.506578220281432</v>
      </c>
      <c r="K51" s="35">
        <f t="shared" si="5"/>
        <v>0.478372368</v>
      </c>
      <c r="W51" s="36">
        <v>43036.0</v>
      </c>
      <c r="X51" s="4">
        <v>0.618133263604</v>
      </c>
      <c r="Y51" s="4">
        <v>0.386149996119</v>
      </c>
      <c r="Z51" s="4">
        <v>0.481555858773</v>
      </c>
      <c r="AJ51" s="5"/>
    </row>
    <row r="52">
      <c r="A52" s="31">
        <v>43088.0</v>
      </c>
      <c r="B52" s="32">
        <v>0.663824070710183</v>
      </c>
      <c r="C52" s="32">
        <v>0.692088816013948</v>
      </c>
      <c r="D52" s="32">
        <f t="shared" si="3"/>
        <v>0.6604985399</v>
      </c>
      <c r="E52" s="32">
        <v>0.369462243703263</v>
      </c>
      <c r="F52" s="32">
        <v>0.39030201982816</v>
      </c>
      <c r="G52" s="33">
        <f t="shared" si="4"/>
        <v>0.4074870072</v>
      </c>
      <c r="H52" s="32"/>
      <c r="I52" s="32">
        <v>0.470651445028867</v>
      </c>
      <c r="J52" s="32">
        <v>0.502207932101782</v>
      </c>
      <c r="K52" s="35">
        <f t="shared" si="5"/>
        <v>0.4804281745</v>
      </c>
      <c r="W52" s="36">
        <v>43037.0</v>
      </c>
      <c r="X52" s="4">
        <v>0.645530236781</v>
      </c>
      <c r="Y52" s="4">
        <v>0.392064994541</v>
      </c>
      <c r="Z52" s="4">
        <v>0.488126471924</v>
      </c>
      <c r="AJ52" s="5"/>
    </row>
    <row r="53">
      <c r="A53" s="31">
        <v>43091.0</v>
      </c>
      <c r="B53" s="32">
        <v>0.591729798750234</v>
      </c>
      <c r="C53" s="32">
        <v>0.683394035683537</v>
      </c>
      <c r="D53" s="32">
        <f t="shared" si="3"/>
        <v>0.6871303397</v>
      </c>
      <c r="E53" s="32">
        <v>0.379970783743722</v>
      </c>
      <c r="F53" s="32">
        <v>0.389912942007322</v>
      </c>
      <c r="G53" s="33">
        <f t="shared" si="4"/>
        <v>0.3926122188</v>
      </c>
      <c r="H53" s="32"/>
      <c r="I53" s="32">
        <v>0.472978487328864</v>
      </c>
      <c r="J53" s="32">
        <v>0.505786743199823</v>
      </c>
      <c r="K53" s="35">
        <f t="shared" si="5"/>
        <v>0.5022878722</v>
      </c>
      <c r="W53" s="36">
        <v>43039.0</v>
      </c>
      <c r="X53" s="4">
        <v>0.610311632857</v>
      </c>
      <c r="Y53" s="4">
        <v>0.381376317863</v>
      </c>
      <c r="Z53" s="4">
        <v>0.49097349668</v>
      </c>
      <c r="AJ53" s="5"/>
    </row>
    <row r="54">
      <c r="A54" s="31">
        <v>43094.0</v>
      </c>
      <c r="B54" s="32">
        <v>0.64402354667499</v>
      </c>
      <c r="C54" s="32">
        <v>0.663794412909048</v>
      </c>
      <c r="D54" s="32">
        <f t="shared" si="3"/>
        <v>0.7166780574</v>
      </c>
      <c r="E54" s="32">
        <v>0.38411866204199</v>
      </c>
      <c r="F54" s="32">
        <v>0.385192474791852</v>
      </c>
      <c r="G54" s="33">
        <f t="shared" si="4"/>
        <v>0.388734303</v>
      </c>
      <c r="H54" s="32"/>
      <c r="I54" s="32">
        <v>0.478268155751273</v>
      </c>
      <c r="J54" s="32">
        <v>0.510385513970564</v>
      </c>
      <c r="K54" s="35">
        <f t="shared" si="5"/>
        <v>0.4950814898</v>
      </c>
      <c r="W54" s="36">
        <v>43040.0</v>
      </c>
      <c r="X54" s="4">
        <v>0.688547820671</v>
      </c>
      <c r="Y54" s="4">
        <v>0.369078782149</v>
      </c>
      <c r="Z54" s="4">
        <v>0.498932844447</v>
      </c>
      <c r="AJ54" s="5"/>
    </row>
    <row r="55">
      <c r="A55" s="31">
        <v>43097.0</v>
      </c>
      <c r="B55" s="32">
        <v>0.619335310355172</v>
      </c>
      <c r="C55" s="32">
        <v>0.665950754724582</v>
      </c>
      <c r="D55" s="32">
        <f t="shared" si="3"/>
        <v>0.6965203121</v>
      </c>
      <c r="E55" s="32">
        <v>0.385065994813349</v>
      </c>
      <c r="F55" s="32">
        <v>0.38169621949355</v>
      </c>
      <c r="G55" s="33">
        <f t="shared" si="4"/>
        <v>0.3776490352</v>
      </c>
      <c r="H55" s="32"/>
      <c r="I55" s="32">
        <v>0.472154266329499</v>
      </c>
      <c r="J55" s="32">
        <v>0.513164643216076</v>
      </c>
      <c r="K55" s="35">
        <f t="shared" si="5"/>
        <v>0.4838070807</v>
      </c>
      <c r="W55" s="36">
        <v>43042.0</v>
      </c>
      <c r="X55" s="4">
        <v>0.654128462467</v>
      </c>
      <c r="Y55" s="4">
        <v>0.382387481585</v>
      </c>
      <c r="Z55" s="4">
        <v>0.477204474577</v>
      </c>
      <c r="AJ55" s="5"/>
    </row>
    <row r="56">
      <c r="A56" s="31">
        <v>43100.0</v>
      </c>
      <c r="B56" s="32">
        <v>0.655964959570015</v>
      </c>
      <c r="C56" s="32">
        <v>0.625197887659144</v>
      </c>
      <c r="D56" s="32">
        <f t="shared" si="3"/>
        <v>0.677932577</v>
      </c>
      <c r="E56" s="32">
        <v>0.383135770515388</v>
      </c>
      <c r="F56" s="32">
        <v>0.383824226607198</v>
      </c>
      <c r="G56" s="33">
        <f t="shared" si="4"/>
        <v>0.3882614174</v>
      </c>
      <c r="H56" s="32"/>
      <c r="I56" s="32">
        <v>0.472256037222311</v>
      </c>
      <c r="J56" s="32">
        <v>0.520840080185381</v>
      </c>
      <c r="K56" s="35">
        <f t="shared" si="5"/>
        <v>0.4961988804</v>
      </c>
      <c r="W56" s="36">
        <v>43043.0</v>
      </c>
      <c r="X56" s="4">
        <v>0.721263960293</v>
      </c>
      <c r="Y56" s="4">
        <v>0.398616760261</v>
      </c>
      <c r="Z56" s="4">
        <v>0.473609998311</v>
      </c>
      <c r="AJ56" s="5"/>
    </row>
    <row r="57">
      <c r="A57" s="31">
        <v>43103.0</v>
      </c>
      <c r="B57" s="32">
        <v>0.615812796881367</v>
      </c>
      <c r="C57" s="32">
        <v>0.681933874168328</v>
      </c>
      <c r="D57" s="32">
        <f t="shared" si="3"/>
        <v>0.6857362343</v>
      </c>
      <c r="E57" s="32">
        <v>0.373865854311399</v>
      </c>
      <c r="F57" s="32">
        <v>0.385363896946358</v>
      </c>
      <c r="G57" s="33">
        <f t="shared" si="4"/>
        <v>0.3762873687</v>
      </c>
      <c r="H57" s="32"/>
      <c r="I57" s="32">
        <v>0.468010263296988</v>
      </c>
      <c r="J57" s="32">
        <v>0.51526933944027</v>
      </c>
      <c r="K57" s="35">
        <f t="shared" si="5"/>
        <v>0.4892912552</v>
      </c>
      <c r="W57" s="36">
        <v>43045.0</v>
      </c>
      <c r="X57" s="4">
        <v>0.728389362556</v>
      </c>
      <c r="Y57" s="4">
        <v>0.389968049271</v>
      </c>
      <c r="Z57" s="4">
        <v>0.48536767974</v>
      </c>
      <c r="AJ57" s="5"/>
    </row>
    <row r="58">
      <c r="A58" s="31">
        <v>43106.0</v>
      </c>
      <c r="B58" s="32">
        <v>0.690247435554059</v>
      </c>
      <c r="C58" s="32">
        <v>0.673562744036608</v>
      </c>
      <c r="D58" s="32">
        <f t="shared" si="3"/>
        <v>0.6456925177</v>
      </c>
      <c r="E58" s="32">
        <v>0.391915740012821</v>
      </c>
      <c r="F58" s="32">
        <v>0.396902958139638</v>
      </c>
      <c r="G58" s="33">
        <f t="shared" si="4"/>
        <v>0.3951967437</v>
      </c>
      <c r="H58" s="32"/>
      <c r="I58" s="32">
        <v>0.48094354908964</v>
      </c>
      <c r="J58" s="32">
        <v>0.517303826169616</v>
      </c>
      <c r="K58" s="35">
        <f t="shared" si="5"/>
        <v>0.4793029009</v>
      </c>
      <c r="W58" s="36">
        <v>43046.0</v>
      </c>
      <c r="X58" s="4">
        <v>0.722852341279</v>
      </c>
      <c r="Y58" s="4">
        <v>0.386192107733</v>
      </c>
      <c r="Z58" s="4">
        <v>0.478877450501</v>
      </c>
      <c r="AJ58" s="5"/>
    </row>
    <row r="59">
      <c r="A59" s="31">
        <v>43109.0</v>
      </c>
      <c r="B59" s="32">
        <v>0.660861579802294</v>
      </c>
      <c r="C59" s="32">
        <v>0.647555242102407</v>
      </c>
      <c r="D59" s="32">
        <f t="shared" si="3"/>
        <v>0.7580780435</v>
      </c>
      <c r="E59" s="32">
        <v>0.377450993963382</v>
      </c>
      <c r="F59" s="32">
        <v>0.379022383227139</v>
      </c>
      <c r="G59" s="33">
        <f t="shared" si="4"/>
        <v>0.3931088781</v>
      </c>
      <c r="H59" s="32"/>
      <c r="I59" s="32">
        <v>0.478982466108977</v>
      </c>
      <c r="J59" s="32">
        <v>0.515363331109161</v>
      </c>
      <c r="K59" s="35">
        <f t="shared" si="5"/>
        <v>0.4965377385</v>
      </c>
      <c r="W59" s="36">
        <v>43048.0</v>
      </c>
      <c r="X59" s="4">
        <v>0.612701544768</v>
      </c>
      <c r="Y59" s="4">
        <v>0.370426325238</v>
      </c>
      <c r="Z59" s="4">
        <v>0.468654990282</v>
      </c>
      <c r="AJ59" s="5"/>
    </row>
    <row r="60">
      <c r="A60" s="31">
        <v>43112.0</v>
      </c>
      <c r="B60" s="32">
        <v>0.64778349925414</v>
      </c>
      <c r="C60" s="32">
        <v>0.703620538536707</v>
      </c>
      <c r="D60" s="32">
        <f t="shared" si="3"/>
        <v>0.6351681412</v>
      </c>
      <c r="E60" s="32">
        <v>0.386257139051124</v>
      </c>
      <c r="F60" s="32">
        <v>0.392694309207497</v>
      </c>
      <c r="G60" s="33">
        <f t="shared" si="4"/>
        <v>0.3721137354</v>
      </c>
      <c r="H60" s="32"/>
      <c r="I60" s="32">
        <v>0.48066203853893</v>
      </c>
      <c r="J60" s="32">
        <v>0.517984641567886</v>
      </c>
      <c r="K60" s="35">
        <f t="shared" si="5"/>
        <v>0.4947026925</v>
      </c>
      <c r="W60" s="36">
        <v>43049.0</v>
      </c>
      <c r="X60" s="4">
        <v>0.612602127287</v>
      </c>
      <c r="Y60" s="4">
        <v>0.37442986643</v>
      </c>
      <c r="Z60" s="4">
        <v>0.481358348505</v>
      </c>
      <c r="AJ60" s="5"/>
    </row>
    <row r="61">
      <c r="A61" s="31">
        <v>43115.0</v>
      </c>
      <c r="B61" s="32">
        <v>0.642893487726927</v>
      </c>
      <c r="C61" s="32">
        <v>0.678603595522653</v>
      </c>
      <c r="D61" s="32">
        <f t="shared" si="3"/>
        <v>0.6817031419</v>
      </c>
      <c r="E61" s="32">
        <v>0.381187535929</v>
      </c>
      <c r="F61" s="32">
        <v>0.386045464229722</v>
      </c>
      <c r="G61" s="33">
        <f t="shared" si="4"/>
        <v>0.3867705155</v>
      </c>
      <c r="H61" s="32"/>
      <c r="I61" s="32">
        <v>0.472287825496567</v>
      </c>
      <c r="J61" s="32">
        <v>0.524790081291426</v>
      </c>
      <c r="K61" s="35">
        <f t="shared" si="5"/>
        <v>0.500575582</v>
      </c>
      <c r="W61" s="36">
        <v>43051.0</v>
      </c>
      <c r="X61" s="4">
        <v>0.674521649007</v>
      </c>
      <c r="Y61" s="4">
        <v>0.384557426918</v>
      </c>
      <c r="Z61" s="4">
        <v>0.484123861283</v>
      </c>
      <c r="AJ61" s="5"/>
    </row>
    <row r="62">
      <c r="A62" s="31">
        <v>43118.0</v>
      </c>
      <c r="B62" s="32">
        <v>0.626337098488589</v>
      </c>
      <c r="C62" s="32">
        <v>0.635519759920909</v>
      </c>
      <c r="D62" s="32">
        <f t="shared" si="3"/>
        <v>0.6567470359</v>
      </c>
      <c r="E62" s="32">
        <v>0.386568261227982</v>
      </c>
      <c r="F62" s="32">
        <v>0.397386786847186</v>
      </c>
      <c r="G62" s="33">
        <f t="shared" si="4"/>
        <v>0.392356917</v>
      </c>
      <c r="H62" s="32"/>
      <c r="I62" s="32">
        <v>0.484254556174675</v>
      </c>
      <c r="J62" s="32">
        <v>0.502181911344507</v>
      </c>
      <c r="K62" s="35">
        <f t="shared" si="5"/>
        <v>0.5037656755</v>
      </c>
      <c r="W62" s="36">
        <v>43052.0</v>
      </c>
      <c r="X62" s="4">
        <v>0.731728193761</v>
      </c>
      <c r="Y62" s="4">
        <v>0.377880427269</v>
      </c>
      <c r="Z62" s="4">
        <v>0.48468693909</v>
      </c>
      <c r="AJ62" s="5"/>
    </row>
    <row r="63">
      <c r="A63" s="31">
        <v>43121.0</v>
      </c>
      <c r="B63" s="32">
        <v>0.627176857105328</v>
      </c>
      <c r="C63" s="32">
        <v>0.669745905416845</v>
      </c>
      <c r="D63" s="32">
        <f t="shared" si="3"/>
        <v>0.6701660473</v>
      </c>
      <c r="E63" s="32">
        <v>0.393410543406116</v>
      </c>
      <c r="F63" s="32">
        <v>0.391538006069799</v>
      </c>
      <c r="G63" s="33">
        <f t="shared" si="4"/>
        <v>0.3937290895</v>
      </c>
      <c r="H63" s="32"/>
      <c r="I63" s="32">
        <v>0.48614556281049</v>
      </c>
      <c r="J63" s="32">
        <v>0.524460368491204</v>
      </c>
      <c r="K63" s="35">
        <f t="shared" si="5"/>
        <v>0.5097252423</v>
      </c>
      <c r="W63" s="36">
        <v>43054.0</v>
      </c>
      <c r="X63" s="4">
        <v>0.674175034189</v>
      </c>
      <c r="Y63" s="4">
        <v>0.37668651264</v>
      </c>
      <c r="Z63" s="4">
        <v>0.485113181576</v>
      </c>
      <c r="AJ63" s="5"/>
    </row>
    <row r="64">
      <c r="A64" s="31">
        <v>43124.0</v>
      </c>
      <c r="B64" s="32">
        <v>0.641194024564408</v>
      </c>
      <c r="C64" s="32">
        <v>0.704794314469571</v>
      </c>
      <c r="D64" s="32">
        <f t="shared" si="3"/>
        <v>0.698786578</v>
      </c>
      <c r="E64" s="32">
        <v>0.378553128743539</v>
      </c>
      <c r="F64" s="32">
        <v>0.384342485170368</v>
      </c>
      <c r="G64" s="33">
        <f t="shared" si="4"/>
        <v>0.3825455453</v>
      </c>
      <c r="H64" s="32"/>
      <c r="I64" s="32">
        <v>0.484219372762187</v>
      </c>
      <c r="J64" s="32">
        <v>0.517237869836346</v>
      </c>
      <c r="K64" s="35">
        <f t="shared" si="5"/>
        <v>0.4979412223</v>
      </c>
      <c r="W64" s="36">
        <v>43055.0</v>
      </c>
      <c r="X64" s="4">
        <v>0.65406051335</v>
      </c>
      <c r="Y64" s="4">
        <v>0.374363555752</v>
      </c>
      <c r="Z64" s="4">
        <v>0.489537977761</v>
      </c>
      <c r="AJ64" s="5"/>
    </row>
    <row r="65">
      <c r="A65" s="31">
        <v>43127.0</v>
      </c>
      <c r="B65" s="32">
        <v>0.63549324366573</v>
      </c>
      <c r="C65" s="32">
        <v>0.626642929096283</v>
      </c>
      <c r="D65" s="32">
        <f t="shared" si="3"/>
        <v>0.6730705951</v>
      </c>
      <c r="E65" s="32">
        <v>0.383519001283666</v>
      </c>
      <c r="F65" s="32">
        <v>0.390948532285629</v>
      </c>
      <c r="G65" s="33">
        <f t="shared" si="4"/>
        <v>0.3969256234</v>
      </c>
      <c r="H65" s="32"/>
      <c r="I65" s="32">
        <v>0.478475340325007</v>
      </c>
      <c r="J65" s="32">
        <v>0.514691925296562</v>
      </c>
      <c r="K65" s="35">
        <f t="shared" si="5"/>
        <v>0.4909881284</v>
      </c>
      <c r="W65" s="36">
        <v>43057.0</v>
      </c>
      <c r="X65" s="4">
        <v>0.683747550572</v>
      </c>
      <c r="Y65" s="4">
        <v>0.394766921791</v>
      </c>
      <c r="Z65" s="4">
        <v>0.482483203311</v>
      </c>
      <c r="AJ65" s="5"/>
    </row>
    <row r="66">
      <c r="A66" s="31">
        <v>43130.0</v>
      </c>
      <c r="B66" s="32">
        <v>0.640363170153178</v>
      </c>
      <c r="C66" s="32">
        <v>0.678921674967628</v>
      </c>
      <c r="D66" s="32">
        <f t="shared" si="3"/>
        <v>0.6453005644</v>
      </c>
      <c r="E66" s="32">
        <v>0.388101007615912</v>
      </c>
      <c r="F66" s="32">
        <v>0.392839295828345</v>
      </c>
      <c r="G66" s="33">
        <f t="shared" si="4"/>
        <v>0.3802698071</v>
      </c>
      <c r="H66" s="32"/>
      <c r="I66" s="32">
        <v>0.47714626284737</v>
      </c>
      <c r="J66" s="32">
        <v>0.510360788224914</v>
      </c>
      <c r="K66" s="35">
        <f t="shared" si="5"/>
        <v>0.5012930718</v>
      </c>
      <c r="W66" s="36">
        <v>43058.0</v>
      </c>
      <c r="X66" s="4">
        <v>0.732845497233</v>
      </c>
      <c r="Y66" s="4">
        <v>0.382152403958</v>
      </c>
      <c r="Z66" s="4">
        <v>0.487130938126</v>
      </c>
      <c r="AJ66" s="5"/>
    </row>
    <row r="67">
      <c r="A67" s="31">
        <v>43133.0</v>
      </c>
      <c r="B67" s="32">
        <v>0.641096122036223</v>
      </c>
      <c r="C67" s="32">
        <v>0.649330928610987</v>
      </c>
      <c r="D67" s="32">
        <f t="shared" si="3"/>
        <v>0.6427079753</v>
      </c>
      <c r="E67" s="32">
        <v>0.378115215399155</v>
      </c>
      <c r="F67" s="32">
        <v>0.393375998948651</v>
      </c>
      <c r="G67" s="33">
        <f t="shared" si="4"/>
        <v>0.3755489473</v>
      </c>
      <c r="H67" s="32"/>
      <c r="I67" s="32">
        <v>0.473064414489221</v>
      </c>
      <c r="J67" s="32">
        <v>0.508304454109132</v>
      </c>
      <c r="K67" s="35">
        <f t="shared" si="5"/>
        <v>0.4877063737</v>
      </c>
      <c r="W67" s="36">
        <v>43060.0</v>
      </c>
      <c r="X67" s="4">
        <v>0.678378091204</v>
      </c>
      <c r="Y67" s="4">
        <v>0.381925514194</v>
      </c>
      <c r="Z67" s="4">
        <v>0.488602893824</v>
      </c>
      <c r="AJ67" s="5"/>
    </row>
    <row r="68">
      <c r="A68" s="31">
        <v>43136.0</v>
      </c>
      <c r="B68" s="32">
        <v>0.627808550325707</v>
      </c>
      <c r="C68" s="32">
        <v>0.685922275085141</v>
      </c>
      <c r="D68" s="32">
        <f t="shared" si="3"/>
        <v>0.6679150395</v>
      </c>
      <c r="E68" s="32">
        <v>0.384084702370069</v>
      </c>
      <c r="F68" s="32">
        <v>0.404375699029664</v>
      </c>
      <c r="G68" s="33">
        <f t="shared" si="4"/>
        <v>0.379848139</v>
      </c>
      <c r="H68" s="32"/>
      <c r="I68" s="32">
        <v>0.474644837974864</v>
      </c>
      <c r="J68" s="32">
        <v>0.524676417813794</v>
      </c>
      <c r="K68" s="35">
        <f t="shared" si="5"/>
        <v>0.4980612121</v>
      </c>
      <c r="W68" s="36">
        <v>43061.0</v>
      </c>
      <c r="X68" s="4">
        <v>0.707682159829</v>
      </c>
      <c r="Y68" s="4">
        <v>0.379337733819</v>
      </c>
      <c r="Z68" s="4">
        <v>0.498119696142</v>
      </c>
      <c r="AJ68" s="5"/>
    </row>
    <row r="69">
      <c r="A69" s="31">
        <v>43139.0</v>
      </c>
      <c r="B69" s="32">
        <v>0.587435544273178</v>
      </c>
      <c r="C69" s="32">
        <v>0.772793292452535</v>
      </c>
      <c r="D69" s="32">
        <f t="shared" si="3"/>
        <v>0.6883553119</v>
      </c>
      <c r="E69" s="32">
        <v>0.380599133909224</v>
      </c>
      <c r="F69" s="32">
        <v>0.364396247792293</v>
      </c>
      <c r="G69" s="33">
        <f t="shared" si="4"/>
        <v>0.3844578695</v>
      </c>
      <c r="H69" s="32"/>
      <c r="I69" s="32">
        <v>0.476615746171072</v>
      </c>
      <c r="J69" s="32">
        <v>0.492004090065889</v>
      </c>
      <c r="K69" s="35">
        <f t="shared" si="5"/>
        <v>0.5021744643</v>
      </c>
      <c r="W69" s="36">
        <v>43063.0</v>
      </c>
      <c r="X69" s="4">
        <v>0.690763028385</v>
      </c>
      <c r="Y69" s="4">
        <v>0.388856945143</v>
      </c>
      <c r="Z69" s="4">
        <v>0.480414473123</v>
      </c>
      <c r="AJ69" s="5"/>
    </row>
    <row r="70">
      <c r="A70" s="31">
        <v>43142.0</v>
      </c>
      <c r="B70" s="32">
        <v>0.624703337177358</v>
      </c>
      <c r="C70" s="32">
        <v>0.742759174669559</v>
      </c>
      <c r="D70" s="32">
        <f t="shared" si="3"/>
        <v>0.6711385542</v>
      </c>
      <c r="E70" s="32">
        <v>0.387519160081088</v>
      </c>
      <c r="F70" s="32">
        <v>0.388991415680691</v>
      </c>
      <c r="G70" s="33">
        <f t="shared" si="4"/>
        <v>0.3827126309</v>
      </c>
      <c r="H70" s="32"/>
      <c r="I70" s="32">
        <v>0.478262079115623</v>
      </c>
      <c r="J70" s="32">
        <v>0.529841810749506</v>
      </c>
      <c r="K70" s="35">
        <f t="shared" si="5"/>
        <v>0.5016725405</v>
      </c>
      <c r="W70" s="36">
        <v>43064.0</v>
      </c>
      <c r="X70" s="4">
        <v>0.630527363534</v>
      </c>
      <c r="Y70" s="4">
        <v>0.373191748605</v>
      </c>
      <c r="Z70" s="4">
        <v>0.472310789623</v>
      </c>
      <c r="AJ70" s="5"/>
    </row>
    <row r="71">
      <c r="A71" s="31">
        <v>43145.0</v>
      </c>
      <c r="B71" s="32">
        <v>0.624160156444465</v>
      </c>
      <c r="C71" s="32">
        <v>0.712088280288796</v>
      </c>
      <c r="D71" s="32">
        <f t="shared" si="3"/>
        <v>0.6954820097</v>
      </c>
      <c r="E71" s="32">
        <v>0.386930024946757</v>
      </c>
      <c r="F71" s="32">
        <v>0.376573043001283</v>
      </c>
      <c r="G71" s="33">
        <f t="shared" si="4"/>
        <v>0.3808397902</v>
      </c>
      <c r="H71" s="32"/>
      <c r="I71" s="32">
        <v>0.469170197617191</v>
      </c>
      <c r="J71" s="32">
        <v>0.537265032002341</v>
      </c>
      <c r="K71" s="35">
        <f t="shared" si="5"/>
        <v>0.4946805133</v>
      </c>
      <c r="W71" s="36">
        <v>43066.0</v>
      </c>
      <c r="X71" s="4">
        <v>0.664930628401</v>
      </c>
      <c r="Y71" s="4">
        <v>0.396629760864</v>
      </c>
      <c r="Z71" s="4">
        <v>0.470161777514</v>
      </c>
      <c r="AJ71" s="5"/>
    </row>
    <row r="72">
      <c r="A72" s="31">
        <v>43148.0</v>
      </c>
      <c r="B72" s="32">
        <v>0.686257770091303</v>
      </c>
      <c r="C72" s="32">
        <v>0.698539312058794</v>
      </c>
      <c r="D72" s="32">
        <f t="shared" si="3"/>
        <v>0.6929609468</v>
      </c>
      <c r="E72" s="32">
        <v>0.392999927829482</v>
      </c>
      <c r="F72" s="32">
        <v>0.386957335055737</v>
      </c>
      <c r="G72" s="33">
        <f t="shared" si="4"/>
        <v>0.3804781173</v>
      </c>
      <c r="H72" s="32"/>
      <c r="I72" s="32">
        <v>0.47980863918259</v>
      </c>
      <c r="J72" s="32">
        <v>0.520362303650337</v>
      </c>
      <c r="K72" s="35">
        <f t="shared" si="5"/>
        <v>0.4982707709</v>
      </c>
      <c r="W72" s="36">
        <v>43067.0</v>
      </c>
      <c r="X72" s="4">
        <v>0.643959326192</v>
      </c>
      <c r="Y72" s="4">
        <v>0.385446833535</v>
      </c>
      <c r="Z72" s="4">
        <v>0.477567787096</v>
      </c>
      <c r="AJ72" s="5"/>
    </row>
    <row r="73">
      <c r="A73" s="31">
        <v>43151.0</v>
      </c>
      <c r="B73" s="32">
        <v>0.656944201896449</v>
      </c>
      <c r="C73" s="32">
        <v>0.70323092283107</v>
      </c>
      <c r="D73" s="32">
        <f t="shared" si="3"/>
        <v>0.6880791238</v>
      </c>
      <c r="E73" s="32">
        <v>0.398954922478244</v>
      </c>
      <c r="F73" s="32">
        <v>0.398812200327109</v>
      </c>
      <c r="G73" s="33">
        <f t="shared" si="4"/>
        <v>0.3865006246</v>
      </c>
      <c r="H73" s="32"/>
      <c r="I73" s="32">
        <v>0.483411791128378</v>
      </c>
      <c r="J73" s="32">
        <v>0.522243970322103</v>
      </c>
      <c r="K73" s="35">
        <f t="shared" si="5"/>
        <v>0.49243076</v>
      </c>
      <c r="W73" s="36">
        <v>43069.0</v>
      </c>
      <c r="X73" s="4">
        <v>0.668512196368</v>
      </c>
      <c r="Y73" s="4">
        <v>0.380311927102</v>
      </c>
      <c r="Z73" s="4">
        <v>0.48431083846</v>
      </c>
      <c r="AJ73" s="5"/>
    </row>
    <row r="74">
      <c r="A74" s="31">
        <v>43154.0</v>
      </c>
      <c r="B74" s="32">
        <v>0.660312344325117</v>
      </c>
      <c r="C74" s="32">
        <v>0.715393919400761</v>
      </c>
      <c r="D74" s="32">
        <f t="shared" si="3"/>
        <v>0.7066593629</v>
      </c>
      <c r="E74" s="32">
        <v>0.400122733124762</v>
      </c>
      <c r="F74" s="32">
        <v>0.398776947034765</v>
      </c>
      <c r="G74" s="33">
        <f t="shared" si="4"/>
        <v>0.3901701808</v>
      </c>
      <c r="H74" s="32"/>
      <c r="I74" s="32">
        <v>0.475672335394304</v>
      </c>
      <c r="J74" s="32">
        <v>0.493914818048206</v>
      </c>
      <c r="K74" s="35">
        <f t="shared" si="5"/>
        <v>0.5005676146</v>
      </c>
      <c r="W74" s="36">
        <v>43070.0</v>
      </c>
      <c r="X74" s="4">
        <v>0.720460077498</v>
      </c>
      <c r="Y74" s="4">
        <v>0.364214392983</v>
      </c>
      <c r="Z74" s="4">
        <v>0.488844722949</v>
      </c>
      <c r="AJ74" s="5"/>
    </row>
    <row r="75">
      <c r="A75" s="31">
        <v>43157.0</v>
      </c>
      <c r="B75" s="32">
        <v>0.682121067849864</v>
      </c>
      <c r="C75" s="32">
        <v>0.707850344682444</v>
      </c>
      <c r="D75" s="32">
        <f t="shared" si="3"/>
        <v>0.7515261587</v>
      </c>
      <c r="E75" s="32">
        <v>0.384111228721878</v>
      </c>
      <c r="F75" s="32">
        <v>0.395883445589845</v>
      </c>
      <c r="G75" s="33">
        <f t="shared" si="4"/>
        <v>0.3889561556</v>
      </c>
      <c r="H75" s="32"/>
      <c r="I75" s="32">
        <v>0.479563408963176</v>
      </c>
      <c r="J75" s="32">
        <v>0.52206095498195</v>
      </c>
      <c r="K75" s="35">
        <f t="shared" si="5"/>
        <v>0.5110916637</v>
      </c>
      <c r="W75" s="36">
        <v>43072.0</v>
      </c>
      <c r="X75" s="4">
        <v>0.679626239083</v>
      </c>
      <c r="Y75" s="4">
        <v>0.39559166791</v>
      </c>
      <c r="Z75" s="4">
        <v>0.477625297978</v>
      </c>
      <c r="AJ75" s="5"/>
    </row>
    <row r="76">
      <c r="A76" s="31">
        <v>43160.0</v>
      </c>
      <c r="B76" s="32">
        <v>0.718870524437612</v>
      </c>
      <c r="C76" s="32">
        <v>0.694134055050278</v>
      </c>
      <c r="D76" s="32">
        <f t="shared" si="3"/>
        <v>0.7181853158</v>
      </c>
      <c r="E76" s="32">
        <v>0.384676169512524</v>
      </c>
      <c r="F76" s="32">
        <v>0.3950926542189</v>
      </c>
      <c r="G76" s="33">
        <f t="shared" si="4"/>
        <v>0.3832990204</v>
      </c>
      <c r="H76" s="32"/>
      <c r="I76" s="32">
        <v>0.481195426454086</v>
      </c>
      <c r="J76" s="32">
        <v>0.523423548876926</v>
      </c>
      <c r="K76" s="35">
        <f t="shared" si="5"/>
        <v>0.4931970356</v>
      </c>
      <c r="W76" s="36">
        <v>43073.0</v>
      </c>
      <c r="X76" s="4">
        <v>0.615343395492</v>
      </c>
      <c r="Y76" s="4">
        <v>0.363523912814</v>
      </c>
      <c r="Z76" s="4">
        <v>0.482517237601</v>
      </c>
      <c r="AJ76" s="5"/>
    </row>
    <row r="77">
      <c r="A77" s="31">
        <v>43163.0</v>
      </c>
      <c r="B77" s="32">
        <v>0.665861701828012</v>
      </c>
      <c r="C77" s="32">
        <v>0.665372305995128</v>
      </c>
      <c r="D77" s="32">
        <f t="shared" si="3"/>
        <v>0.6732672522</v>
      </c>
      <c r="E77" s="32">
        <v>0.382378216129233</v>
      </c>
      <c r="F77" s="32">
        <v>0.391171220949408</v>
      </c>
      <c r="G77" s="33">
        <f t="shared" si="4"/>
        <v>0.3842413223</v>
      </c>
      <c r="H77" s="32"/>
      <c r="I77" s="32">
        <v>0.485974076038215</v>
      </c>
      <c r="J77" s="32">
        <v>0.517550403391933</v>
      </c>
      <c r="K77" s="35">
        <f t="shared" si="5"/>
        <v>0.5057473883</v>
      </c>
      <c r="W77" s="36">
        <v>43075.0</v>
      </c>
      <c r="X77" s="4">
        <v>0.621776897716</v>
      </c>
      <c r="Y77" s="4">
        <v>0.38730834396</v>
      </c>
      <c r="Z77" s="4">
        <v>0.471831686799</v>
      </c>
      <c r="AJ77" s="5"/>
    </row>
    <row r="78">
      <c r="A78" s="31">
        <v>43166.0</v>
      </c>
      <c r="B78" s="32">
        <v>0.674671270282626</v>
      </c>
      <c r="C78" s="32">
        <v>0.742212060476728</v>
      </c>
      <c r="D78" s="32">
        <f t="shared" si="3"/>
        <v>0.711608853</v>
      </c>
      <c r="E78" s="32">
        <v>0.387701598193741</v>
      </c>
      <c r="F78" s="32">
        <v>0.393785093295017</v>
      </c>
      <c r="G78" s="33">
        <f t="shared" si="4"/>
        <v>0.3796827641</v>
      </c>
      <c r="H78" s="32"/>
      <c r="I78" s="32">
        <v>0.476047752428848</v>
      </c>
      <c r="J78" s="32">
        <v>0.52748768774449</v>
      </c>
      <c r="K78" s="35">
        <f t="shared" si="5"/>
        <v>0.5090783733</v>
      </c>
      <c r="W78" s="36">
        <v>43076.0</v>
      </c>
      <c r="X78" s="4">
        <v>0.67444915222</v>
      </c>
      <c r="Y78" s="4">
        <v>0.397922552484</v>
      </c>
      <c r="Z78" s="4">
        <v>0.484019335828</v>
      </c>
      <c r="AJ78" s="5"/>
    </row>
    <row r="79">
      <c r="A79" s="31">
        <v>43169.0</v>
      </c>
      <c r="B79" s="32">
        <v>0.639916434646882</v>
      </c>
      <c r="C79" s="32">
        <v>0.706621080334807</v>
      </c>
      <c r="D79" s="32">
        <f t="shared" si="3"/>
        <v>0.6473303802</v>
      </c>
      <c r="E79" s="32">
        <v>0.391242776976639</v>
      </c>
      <c r="F79" s="32">
        <v>0.393568807875178</v>
      </c>
      <c r="G79" s="33">
        <f t="shared" si="4"/>
        <v>0.3798399896</v>
      </c>
      <c r="H79" s="32"/>
      <c r="I79" s="32">
        <v>0.488672618936155</v>
      </c>
      <c r="J79" s="32">
        <v>0.517938331263445</v>
      </c>
      <c r="K79" s="35">
        <f t="shared" si="5"/>
        <v>0.4842235289</v>
      </c>
      <c r="W79" s="36">
        <v>43078.0</v>
      </c>
      <c r="X79" s="4">
        <v>0.710197330433</v>
      </c>
      <c r="Y79" s="4">
        <v>0.370722378815</v>
      </c>
      <c r="Z79" s="4">
        <v>0.489306720745</v>
      </c>
      <c r="AJ79" s="5"/>
    </row>
    <row r="80">
      <c r="A80" s="31">
        <v>43172.0</v>
      </c>
      <c r="B80" s="32">
        <v>0.675651715121623</v>
      </c>
      <c r="C80" s="32">
        <v>0.691991402405934</v>
      </c>
      <c r="D80" s="32">
        <f t="shared" si="3"/>
        <v>0.7001385156</v>
      </c>
      <c r="E80" s="32">
        <v>0.380318414512002</v>
      </c>
      <c r="F80" s="32">
        <v>0.36981034165081</v>
      </c>
      <c r="G80" s="33">
        <f t="shared" si="4"/>
        <v>0.3892282237</v>
      </c>
      <c r="H80" s="32"/>
      <c r="I80" s="32">
        <v>0.475154558020058</v>
      </c>
      <c r="J80" s="32">
        <v>0.516755269847648</v>
      </c>
      <c r="K80" s="35">
        <f t="shared" si="5"/>
        <v>0.4924504398</v>
      </c>
      <c r="W80" s="36">
        <v>43079.0</v>
      </c>
      <c r="X80" s="4">
        <v>0.652130903091</v>
      </c>
      <c r="Y80" s="4">
        <v>0.390019756164</v>
      </c>
      <c r="Z80" s="4">
        <v>0.484004827777</v>
      </c>
      <c r="AJ80" s="5"/>
    </row>
    <row r="81">
      <c r="A81" s="31">
        <v>43175.0</v>
      </c>
      <c r="B81" s="32">
        <v>0.667094910256372</v>
      </c>
      <c r="C81" s="32">
        <v>0.64069428397626</v>
      </c>
      <c r="D81" s="32">
        <f t="shared" si="3"/>
        <v>0.7140415285</v>
      </c>
      <c r="E81" s="32">
        <v>0.384804285436647</v>
      </c>
      <c r="F81" s="32">
        <v>0.373628221343329</v>
      </c>
      <c r="G81" s="33">
        <f t="shared" si="4"/>
        <v>0.39635203</v>
      </c>
      <c r="H81" s="32"/>
      <c r="I81" s="32">
        <v>0.471955234023052</v>
      </c>
      <c r="J81" s="32">
        <v>0.534478314195882</v>
      </c>
      <c r="K81" s="35">
        <f t="shared" si="5"/>
        <v>0.4908849012</v>
      </c>
      <c r="W81" s="36">
        <v>43082.0</v>
      </c>
      <c r="X81" s="4">
        <v>0.703619144915</v>
      </c>
      <c r="Y81" s="4">
        <v>0.382809199778</v>
      </c>
      <c r="Z81" s="4">
        <v>0.450905805108</v>
      </c>
      <c r="AJ81" s="5"/>
    </row>
    <row r="82">
      <c r="A82" s="31">
        <v>43178.0</v>
      </c>
      <c r="B82" s="32">
        <v>0.664533001912206</v>
      </c>
      <c r="C82" s="32">
        <v>0.705910529607309</v>
      </c>
      <c r="D82" s="32">
        <f t="shared" si="3"/>
        <v>0.6993461976</v>
      </c>
      <c r="E82" s="32">
        <v>0.374601742619995</v>
      </c>
      <c r="F82" s="32">
        <v>0.405600714337799</v>
      </c>
      <c r="G82" s="33">
        <f t="shared" si="4"/>
        <v>0.3853947752</v>
      </c>
      <c r="H82" s="32"/>
      <c r="I82" s="32">
        <v>0.485427293092503</v>
      </c>
      <c r="J82" s="32">
        <v>0.519076650568136</v>
      </c>
      <c r="K82" s="35">
        <f t="shared" si="5"/>
        <v>0.4990864346</v>
      </c>
      <c r="W82" s="36">
        <v>43084.0</v>
      </c>
      <c r="X82" s="4">
        <v>0.671859232844</v>
      </c>
      <c r="Y82" s="4">
        <v>0.380185291402</v>
      </c>
      <c r="Z82" s="4">
        <v>0.479334146791</v>
      </c>
      <c r="AJ82" s="5"/>
    </row>
    <row r="83">
      <c r="A83" s="2"/>
      <c r="W83" s="36">
        <v>43085.0</v>
      </c>
      <c r="X83" s="4">
        <v>0.627302507671</v>
      </c>
      <c r="Y83" s="4">
        <v>0.372132358949</v>
      </c>
      <c r="Z83" s="4">
        <v>0.478372368045</v>
      </c>
      <c r="AJ83" s="5"/>
    </row>
    <row r="84">
      <c r="A84" s="2"/>
      <c r="W84" s="36">
        <v>43087.0</v>
      </c>
      <c r="X84" s="4">
        <v>0.696829538521</v>
      </c>
      <c r="Y84" s="4">
        <v>0.374859051344</v>
      </c>
      <c r="Z84" s="4">
        <v>0.483260386199</v>
      </c>
      <c r="AJ84" s="5"/>
    </row>
    <row r="85">
      <c r="W85" s="36">
        <v>43088.0</v>
      </c>
      <c r="X85" s="4">
        <v>0.660498539904</v>
      </c>
      <c r="Y85" s="4">
        <v>0.407487007224</v>
      </c>
      <c r="Z85" s="4">
        <v>0.480428174527</v>
      </c>
      <c r="AJ85" s="5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36">
        <v>43090.0</v>
      </c>
      <c r="X86" s="4">
        <v>0.691676246649</v>
      </c>
      <c r="Y86" s="4">
        <v>0.37881009515</v>
      </c>
      <c r="Z86" s="4">
        <v>0.483637688564</v>
      </c>
      <c r="AA86" s="4"/>
      <c r="AB86" s="4"/>
      <c r="AC86" s="4"/>
      <c r="AD86" s="4"/>
      <c r="AE86" s="4"/>
      <c r="AF86" s="4"/>
      <c r="AG86" s="4"/>
      <c r="AH86" s="4"/>
      <c r="AI86" s="4"/>
      <c r="AJ86" s="23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</row>
    <row r="87">
      <c r="W87" s="36">
        <v>43091.0</v>
      </c>
      <c r="X87" s="4">
        <v>0.687130339702</v>
      </c>
      <c r="Y87" s="4">
        <v>0.39261221878</v>
      </c>
      <c r="Z87" s="4">
        <v>0.50228787217</v>
      </c>
      <c r="AJ87" s="5"/>
    </row>
    <row r="88">
      <c r="W88" s="36">
        <v>43093.0</v>
      </c>
      <c r="X88" s="4">
        <v>0.725011319057</v>
      </c>
      <c r="Y88" s="4">
        <v>0.378448976378</v>
      </c>
      <c r="Z88" s="4">
        <v>0.49173240505</v>
      </c>
      <c r="AJ88" s="5"/>
    </row>
    <row r="89">
      <c r="A89" s="4"/>
      <c r="W89" s="36">
        <v>43094.0</v>
      </c>
      <c r="X89" s="4">
        <v>0.716678057405</v>
      </c>
      <c r="Y89" s="4">
        <v>0.388734303004</v>
      </c>
      <c r="Z89" s="4">
        <v>0.495081489815</v>
      </c>
      <c r="AJ89" s="5"/>
    </row>
    <row r="90">
      <c r="A90" s="29" t="s">
        <v>28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36">
        <v>43096.0</v>
      </c>
      <c r="X90" s="4">
        <v>0.637913274482</v>
      </c>
      <c r="Y90" s="4">
        <v>0.398293237964</v>
      </c>
      <c r="Z90" s="4">
        <v>0.47825165152</v>
      </c>
      <c r="AA90" s="4"/>
      <c r="AB90" s="4"/>
      <c r="AC90" s="4"/>
      <c r="AD90" s="4"/>
      <c r="AE90" s="4"/>
      <c r="AF90" s="4"/>
      <c r="AG90" s="4"/>
      <c r="AH90" s="4"/>
      <c r="AI90" s="4"/>
      <c r="AJ90" s="23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  <c r="AEL90" s="4"/>
      <c r="AEM90" s="4"/>
      <c r="AEN90" s="4"/>
      <c r="AEO90" s="4"/>
      <c r="AEP90" s="4"/>
      <c r="AEQ90" s="4"/>
      <c r="AER90" s="4"/>
      <c r="AES90" s="4"/>
      <c r="AET90" s="4"/>
      <c r="AEU90" s="4"/>
      <c r="AEV90" s="4"/>
      <c r="AEW90" s="4"/>
      <c r="AEX90" s="4"/>
      <c r="AEY90" s="4"/>
      <c r="AEZ90" s="4"/>
    </row>
    <row r="91">
      <c r="A91" s="4"/>
      <c r="B91" s="4"/>
      <c r="C91" s="4"/>
      <c r="D91" s="4"/>
      <c r="E91" s="4"/>
      <c r="F91" s="4"/>
      <c r="J91" s="4"/>
      <c r="K91" s="4"/>
      <c r="P91" s="4"/>
      <c r="V91" s="4"/>
      <c r="W91" s="36">
        <v>43097.0</v>
      </c>
      <c r="X91" s="4">
        <v>0.696520312105</v>
      </c>
      <c r="Y91" s="4">
        <v>0.377649035156</v>
      </c>
      <c r="Z91" s="4">
        <v>0.4838070807</v>
      </c>
      <c r="AA91" s="4"/>
      <c r="AB91" s="4"/>
      <c r="AC91" s="4"/>
      <c r="AD91" s="4"/>
      <c r="AE91" s="4"/>
      <c r="AF91" s="4"/>
      <c r="AG91" s="4"/>
      <c r="AH91" s="4"/>
      <c r="AI91" s="4"/>
      <c r="AJ91" s="23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  <c r="AEL91" s="4"/>
      <c r="AEM91" s="4"/>
      <c r="AEN91" s="4"/>
      <c r="AEO91" s="4"/>
      <c r="AEP91" s="4"/>
      <c r="AEQ91" s="4"/>
      <c r="AER91" s="4"/>
      <c r="AES91" s="4"/>
      <c r="AET91" s="4"/>
      <c r="AEU91" s="4"/>
      <c r="AEV91" s="4"/>
      <c r="AEW91" s="4"/>
      <c r="AEX91" s="4"/>
      <c r="AEY91" s="4"/>
      <c r="AEZ91" s="4"/>
    </row>
    <row r="92">
      <c r="A92" s="37" t="s">
        <v>29</v>
      </c>
      <c r="F92" s="4"/>
      <c r="G92" s="37" t="s">
        <v>30</v>
      </c>
      <c r="L92" s="37" t="s">
        <v>31</v>
      </c>
      <c r="Q92" s="37" t="s">
        <v>32</v>
      </c>
      <c r="W92" s="36">
        <v>43099.0</v>
      </c>
      <c r="X92" s="4">
        <v>0.694791030142</v>
      </c>
      <c r="Y92" s="4">
        <v>0.38072554901</v>
      </c>
      <c r="Z92" s="4">
        <v>0.489831034159</v>
      </c>
      <c r="AB92" s="38" t="s">
        <v>33</v>
      </c>
      <c r="AG92" s="38" t="s">
        <v>34</v>
      </c>
      <c r="AL92" s="38" t="s">
        <v>35</v>
      </c>
    </row>
    <row r="93">
      <c r="A93" s="38" t="s">
        <v>36</v>
      </c>
      <c r="B93" s="38" t="s">
        <v>37</v>
      </c>
      <c r="C93" s="38" t="s">
        <v>38</v>
      </c>
      <c r="D93" s="14" t="s">
        <v>39</v>
      </c>
      <c r="E93" s="39" t="s">
        <v>40</v>
      </c>
      <c r="F93" s="40" t="s">
        <v>41</v>
      </c>
      <c r="G93" s="38" t="s">
        <v>36</v>
      </c>
      <c r="H93" s="38" t="s">
        <v>37</v>
      </c>
      <c r="I93" s="38" t="s">
        <v>38</v>
      </c>
      <c r="J93" s="14" t="s">
        <v>39</v>
      </c>
      <c r="K93" s="39" t="s">
        <v>40</v>
      </c>
      <c r="L93" s="41" t="s">
        <v>36</v>
      </c>
      <c r="M93" s="38" t="s">
        <v>37</v>
      </c>
      <c r="N93" s="38" t="s">
        <v>38</v>
      </c>
      <c r="O93" s="14" t="s">
        <v>39</v>
      </c>
      <c r="P93" s="14" t="s">
        <v>40</v>
      </c>
      <c r="Q93" s="42" t="s">
        <v>36</v>
      </c>
      <c r="R93" s="42" t="s">
        <v>37</v>
      </c>
      <c r="S93" s="42" t="s">
        <v>38</v>
      </c>
      <c r="T93" s="38" t="s">
        <v>39</v>
      </c>
      <c r="U93" s="14" t="s">
        <v>40</v>
      </c>
      <c r="V93" s="6"/>
      <c r="W93" s="36">
        <v>43100.0</v>
      </c>
      <c r="X93" s="4">
        <v>0.677932577042</v>
      </c>
      <c r="Y93" s="14">
        <v>0.388261417352</v>
      </c>
      <c r="Z93" s="14">
        <v>0.496198880383</v>
      </c>
      <c r="AA93" s="6"/>
      <c r="AB93" s="14" t="s">
        <v>36</v>
      </c>
      <c r="AC93" s="14" t="s">
        <v>37</v>
      </c>
      <c r="AD93" s="42" t="s">
        <v>38</v>
      </c>
      <c r="AE93" s="38" t="s">
        <v>39</v>
      </c>
      <c r="AF93" s="14" t="s">
        <v>40</v>
      </c>
      <c r="AG93" s="14" t="s">
        <v>36</v>
      </c>
      <c r="AH93" s="14" t="s">
        <v>37</v>
      </c>
      <c r="AI93" s="42" t="s">
        <v>38</v>
      </c>
      <c r="AJ93" s="43" t="s">
        <v>39</v>
      </c>
      <c r="AK93" s="14" t="s">
        <v>40</v>
      </c>
      <c r="AL93" s="14" t="s">
        <v>36</v>
      </c>
      <c r="AM93" s="14" t="s">
        <v>37</v>
      </c>
      <c r="AN93" s="42" t="s">
        <v>38</v>
      </c>
      <c r="AO93" s="43" t="s">
        <v>39</v>
      </c>
      <c r="AP93" s="14" t="s">
        <v>40</v>
      </c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</row>
    <row r="94">
      <c r="A94" s="36">
        <v>39990.0</v>
      </c>
      <c r="B94" s="34">
        <v>0.809252602578</v>
      </c>
      <c r="C94" s="36">
        <v>39960.0</v>
      </c>
      <c r="D94" t="str">
        <f t="shared" ref="D94:D925" si="6">TEXT(A94, "YYYY-MM")</f>
        <v>2009-06</v>
      </c>
      <c r="E94" s="44" t="str">
        <f t="shared" ref="E94:E533" si="7">TEXT(C94, "YYYY-MM")</f>
        <v>2009-05</v>
      </c>
      <c r="F94" s="45">
        <v>8326.0</v>
      </c>
      <c r="G94" s="36">
        <v>40472.0</v>
      </c>
      <c r="H94" s="34">
        <v>0.826972559394</v>
      </c>
      <c r="I94" s="36">
        <v>40471.0</v>
      </c>
      <c r="J94" t="str">
        <f t="shared" ref="J94:J822" si="8">TEXT(G94, "YYYY-MM")</f>
        <v>2010-10</v>
      </c>
      <c r="K94" s="44" t="str">
        <f t="shared" ref="K94:K281" si="9">TEXT(I94, "YYYY-MM")</f>
        <v>2010-10</v>
      </c>
      <c r="L94" s="46">
        <v>40889.0</v>
      </c>
      <c r="M94" s="4">
        <v>0.762753281891</v>
      </c>
      <c r="N94" s="36">
        <v>40745.0</v>
      </c>
      <c r="O94" t="str">
        <f t="shared" ref="O94:O791" si="10">TEXT(L94, "YYYY-MM")</f>
        <v>2011-12</v>
      </c>
      <c r="P94" t="str">
        <f t="shared" ref="P94:P362" si="11">TEXT(N94, "YYYY-MM")</f>
        <v>2011-07</v>
      </c>
      <c r="Q94" s="36">
        <v>41668.0</v>
      </c>
      <c r="R94" s="4">
        <v>0.833880794425</v>
      </c>
      <c r="S94" s="36">
        <v>41632.0</v>
      </c>
      <c r="T94" t="str">
        <f t="shared" ref="T94:T549" si="12">TEXT(Q94, "YYYY-MM")</f>
        <v>2014-01</v>
      </c>
      <c r="U94" t="str">
        <f t="shared" ref="U94:U306" si="13">TEXT(S94, "YYYY-MM")</f>
        <v>2013-12</v>
      </c>
      <c r="W94" s="36">
        <v>43102.0</v>
      </c>
      <c r="X94" s="4">
        <v>0.649116396221</v>
      </c>
      <c r="Y94" s="4">
        <v>0.39453971257</v>
      </c>
      <c r="Z94" s="4">
        <v>0.485249886233</v>
      </c>
      <c r="AB94" s="36">
        <v>39812.0</v>
      </c>
      <c r="AC94" s="4">
        <v>0.645676128527</v>
      </c>
      <c r="AD94" s="47">
        <v>39808.0</v>
      </c>
      <c r="AE94" t="str">
        <f t="shared" ref="AE94:AE998" si="14">TEXT(AB94, "YYYY-MM")</f>
        <v>2008-12</v>
      </c>
      <c r="AF94" t="str">
        <f t="shared" ref="AF94:AF382" si="15">TEXT(AD94, "YYYY-MM")</f>
        <v>2008-12</v>
      </c>
      <c r="AG94" s="36">
        <v>40935.0</v>
      </c>
      <c r="AH94" s="4">
        <v>0.641725664605</v>
      </c>
      <c r="AI94" s="47">
        <v>40934.0</v>
      </c>
      <c r="AJ94" s="48" t="str">
        <f t="shared" ref="AJ94:AJ735" si="16">TEXT(AG94, "YYYY-MM")</f>
        <v>2012-01</v>
      </c>
      <c r="AK94" s="49" t="str">
        <f t="shared" ref="AK94:AK176" si="17">TEXT(AI94, "YYYY-MM")</f>
        <v>2012-01</v>
      </c>
      <c r="AL94" s="36">
        <v>40438.0</v>
      </c>
      <c r="AM94" s="4">
        <v>0.722234203797</v>
      </c>
      <c r="AN94" s="47">
        <v>40718.0</v>
      </c>
      <c r="AO94" s="49" t="str">
        <f t="shared" ref="AO94:AO805" si="18">TEXT(AL94, "YYYY-MM")</f>
        <v>2010-09</v>
      </c>
      <c r="AP94" t="str">
        <f t="shared" ref="AP94:AP384" si="19">TEXT(AN94, "YYYY-MM")</f>
        <v>2011-06</v>
      </c>
    </row>
    <row r="95">
      <c r="A95" s="36">
        <v>40017.0</v>
      </c>
      <c r="B95" s="34">
        <v>0.571744905277</v>
      </c>
      <c r="C95" s="36">
        <v>39964.0</v>
      </c>
      <c r="D95" t="str">
        <f t="shared" si="6"/>
        <v>2009-07</v>
      </c>
      <c r="E95" s="44" t="str">
        <f t="shared" si="7"/>
        <v>2009-05</v>
      </c>
      <c r="F95" s="45">
        <v>8293.0</v>
      </c>
      <c r="G95" s="36">
        <v>40479.0</v>
      </c>
      <c r="H95" s="34">
        <v>0.609631694573</v>
      </c>
      <c r="I95" s="36">
        <v>40478.0</v>
      </c>
      <c r="J95" t="str">
        <f t="shared" si="8"/>
        <v>2010-10</v>
      </c>
      <c r="K95" s="44" t="str">
        <f t="shared" si="9"/>
        <v>2010-10</v>
      </c>
      <c r="L95" s="46">
        <v>40890.0</v>
      </c>
      <c r="M95" s="4">
        <v>0.704541633632</v>
      </c>
      <c r="N95" s="36">
        <v>40766.0</v>
      </c>
      <c r="O95" t="str">
        <f t="shared" si="10"/>
        <v>2011-12</v>
      </c>
      <c r="P95" t="str">
        <f t="shared" si="11"/>
        <v>2011-08</v>
      </c>
      <c r="Q95" s="36">
        <v>41673.0</v>
      </c>
      <c r="R95" s="4">
        <v>0.806061672606</v>
      </c>
      <c r="S95" s="36">
        <v>41632.0</v>
      </c>
      <c r="T95" t="str">
        <f t="shared" si="12"/>
        <v>2014-02</v>
      </c>
      <c r="U95" t="str">
        <f t="shared" si="13"/>
        <v>2013-12</v>
      </c>
      <c r="W95" s="36">
        <v>43103.0</v>
      </c>
      <c r="X95" s="4">
        <v>0.685736234261</v>
      </c>
      <c r="Y95" s="4">
        <v>0.376287368743</v>
      </c>
      <c r="Z95" s="4">
        <v>0.489291255221</v>
      </c>
      <c r="AB95" s="36">
        <v>39818.0</v>
      </c>
      <c r="AC95" s="4">
        <v>0.823255142963</v>
      </c>
      <c r="AD95" s="47">
        <v>39830.0</v>
      </c>
      <c r="AE95" t="str">
        <f t="shared" si="14"/>
        <v>2009-01</v>
      </c>
      <c r="AF95" t="str">
        <f t="shared" si="15"/>
        <v>2009-01</v>
      </c>
      <c r="AG95" s="36">
        <v>40936.0</v>
      </c>
      <c r="AH95" s="4">
        <v>0.881332007709</v>
      </c>
      <c r="AI95" s="47">
        <v>40951.0</v>
      </c>
      <c r="AJ95" s="48" t="str">
        <f t="shared" si="16"/>
        <v>2012-01</v>
      </c>
      <c r="AK95" s="49" t="str">
        <f t="shared" si="17"/>
        <v>2012-02</v>
      </c>
      <c r="AL95" s="36">
        <v>40439.0</v>
      </c>
      <c r="AM95" s="4">
        <v>0.833777382976</v>
      </c>
      <c r="AN95" s="47">
        <v>40721.0</v>
      </c>
      <c r="AO95" s="49" t="str">
        <f t="shared" si="18"/>
        <v>2010-09</v>
      </c>
      <c r="AP95" t="str">
        <f t="shared" si="19"/>
        <v>2011-06</v>
      </c>
    </row>
    <row r="96">
      <c r="A96" s="36">
        <v>40018.0</v>
      </c>
      <c r="B96" s="34">
        <v>0.697511495814</v>
      </c>
      <c r="C96" s="36">
        <v>39975.0</v>
      </c>
      <c r="D96" t="str">
        <f t="shared" si="6"/>
        <v>2009-07</v>
      </c>
      <c r="E96" s="44" t="str">
        <f t="shared" si="7"/>
        <v>2009-06</v>
      </c>
      <c r="F96" s="45">
        <v>8259.0</v>
      </c>
      <c r="G96" s="36">
        <v>40480.0</v>
      </c>
      <c r="H96" s="34">
        <v>0.41489556304</v>
      </c>
      <c r="I96" s="36">
        <v>40485.0</v>
      </c>
      <c r="J96" t="str">
        <f t="shared" si="8"/>
        <v>2010-10</v>
      </c>
      <c r="K96" s="44" t="str">
        <f t="shared" si="9"/>
        <v>2010-11</v>
      </c>
      <c r="L96" s="46">
        <v>40891.0</v>
      </c>
      <c r="M96" s="4">
        <v>0.589632150261</v>
      </c>
      <c r="N96" s="36">
        <v>40889.0</v>
      </c>
      <c r="O96" t="str">
        <f t="shared" si="10"/>
        <v>2011-12</v>
      </c>
      <c r="P96" t="str">
        <f t="shared" si="11"/>
        <v>2011-12</v>
      </c>
      <c r="Q96" s="36">
        <v>41674.0</v>
      </c>
      <c r="R96" s="4">
        <v>0.725407889022</v>
      </c>
      <c r="S96" s="36">
        <v>41636.0</v>
      </c>
      <c r="T96" t="str">
        <f t="shared" si="12"/>
        <v>2014-02</v>
      </c>
      <c r="U96" t="str">
        <f t="shared" si="13"/>
        <v>2013-12</v>
      </c>
      <c r="W96" s="36">
        <v>43106.0</v>
      </c>
      <c r="X96" s="4">
        <v>0.64569251771</v>
      </c>
      <c r="Y96" s="4">
        <v>0.39519674372</v>
      </c>
      <c r="Z96" s="4">
        <v>0.479302900894</v>
      </c>
      <c r="AB96" s="36">
        <v>39819.0</v>
      </c>
      <c r="AC96" s="4">
        <v>0.677127019086</v>
      </c>
      <c r="AD96" s="47">
        <v>39892.0</v>
      </c>
      <c r="AE96" t="str">
        <f t="shared" si="14"/>
        <v>2009-01</v>
      </c>
      <c r="AF96" t="str">
        <f t="shared" si="15"/>
        <v>2009-03</v>
      </c>
      <c r="AG96" s="36">
        <v>40938.0</v>
      </c>
      <c r="AH96" s="4">
        <v>0.775979971723</v>
      </c>
      <c r="AI96" s="47">
        <v>40961.0</v>
      </c>
      <c r="AJ96" s="48" t="str">
        <f t="shared" si="16"/>
        <v>2012-01</v>
      </c>
      <c r="AK96" s="49" t="str">
        <f t="shared" si="17"/>
        <v>2012-02</v>
      </c>
      <c r="AL96" s="36">
        <v>40445.0</v>
      </c>
      <c r="AM96" s="4">
        <v>0.707319445914</v>
      </c>
      <c r="AN96" s="47">
        <v>40721.0</v>
      </c>
      <c r="AO96" s="49" t="str">
        <f t="shared" si="18"/>
        <v>2010-09</v>
      </c>
      <c r="AP96" t="str">
        <f t="shared" si="19"/>
        <v>2011-06</v>
      </c>
    </row>
    <row r="97">
      <c r="A97" s="36">
        <v>40024.0</v>
      </c>
      <c r="B97" s="34">
        <v>0.748704184595</v>
      </c>
      <c r="C97" s="36">
        <v>39976.0</v>
      </c>
      <c r="D97" t="str">
        <f t="shared" si="6"/>
        <v>2009-07</v>
      </c>
      <c r="E97" s="44" t="str">
        <f t="shared" si="7"/>
        <v>2009-06</v>
      </c>
      <c r="F97" s="45">
        <v>8218.0</v>
      </c>
      <c r="G97" s="36">
        <v>40486.0</v>
      </c>
      <c r="H97" s="34">
        <v>0.680448458986</v>
      </c>
      <c r="I97" s="36">
        <v>40493.0</v>
      </c>
      <c r="J97" t="str">
        <f t="shared" si="8"/>
        <v>2010-11</v>
      </c>
      <c r="K97" s="44" t="str">
        <f t="shared" si="9"/>
        <v>2010-11</v>
      </c>
      <c r="L97" s="46">
        <v>40892.0</v>
      </c>
      <c r="M97" s="4">
        <v>0.789752591033</v>
      </c>
      <c r="N97" s="36">
        <v>40891.0</v>
      </c>
      <c r="O97" t="str">
        <f t="shared" si="10"/>
        <v>2011-12</v>
      </c>
      <c r="P97" t="str">
        <f t="shared" si="11"/>
        <v>2011-12</v>
      </c>
      <c r="Q97" s="36">
        <v>41675.0</v>
      </c>
      <c r="R97" s="4">
        <v>0.746911849369</v>
      </c>
      <c r="S97" s="36">
        <v>41645.0</v>
      </c>
      <c r="T97" t="str">
        <f t="shared" si="12"/>
        <v>2014-02</v>
      </c>
      <c r="U97" t="str">
        <f t="shared" si="13"/>
        <v>2014-01</v>
      </c>
      <c r="W97" s="36">
        <v>43109.0</v>
      </c>
      <c r="X97" s="4">
        <v>0.758078043516</v>
      </c>
      <c r="Y97" s="4">
        <v>0.393108878118</v>
      </c>
      <c r="Z97" s="4">
        <v>0.496537738527</v>
      </c>
      <c r="AB97" s="36">
        <v>39820.0</v>
      </c>
      <c r="AC97" s="4">
        <v>0.285131295059</v>
      </c>
      <c r="AD97" s="47">
        <v>39938.0</v>
      </c>
      <c r="AE97" t="str">
        <f t="shared" si="14"/>
        <v>2009-01</v>
      </c>
      <c r="AF97" t="str">
        <f t="shared" si="15"/>
        <v>2009-05</v>
      </c>
      <c r="AG97" s="36">
        <v>40942.0</v>
      </c>
      <c r="AH97" s="4">
        <v>0.766504962674</v>
      </c>
      <c r="AI97" s="47">
        <v>40961.0</v>
      </c>
      <c r="AJ97" s="48" t="str">
        <f t="shared" si="16"/>
        <v>2012-02</v>
      </c>
      <c r="AK97" s="49" t="str">
        <f t="shared" si="17"/>
        <v>2012-02</v>
      </c>
      <c r="AL97" s="36">
        <v>40446.0</v>
      </c>
      <c r="AM97" s="4">
        <v>0.521603179039</v>
      </c>
      <c r="AN97" s="47">
        <v>40728.0</v>
      </c>
      <c r="AO97" s="49" t="str">
        <f t="shared" si="18"/>
        <v>2010-09</v>
      </c>
      <c r="AP97" t="str">
        <f t="shared" si="19"/>
        <v>2011-07</v>
      </c>
    </row>
    <row r="98">
      <c r="A98" s="36">
        <v>40045.0</v>
      </c>
      <c r="B98" s="34">
        <v>0.807697778694</v>
      </c>
      <c r="C98" s="36">
        <v>39982.0</v>
      </c>
      <c r="D98" t="str">
        <f t="shared" si="6"/>
        <v>2009-08</v>
      </c>
      <c r="E98" s="44" t="str">
        <f t="shared" si="7"/>
        <v>2009-06</v>
      </c>
      <c r="F98" s="45">
        <v>8173.0</v>
      </c>
      <c r="G98" s="36">
        <v>40488.0</v>
      </c>
      <c r="H98" s="34">
        <v>0.218625298694</v>
      </c>
      <c r="I98" s="36">
        <v>40501.0</v>
      </c>
      <c r="J98" t="str">
        <f t="shared" si="8"/>
        <v>2010-11</v>
      </c>
      <c r="K98" s="44" t="str">
        <f t="shared" si="9"/>
        <v>2010-11</v>
      </c>
      <c r="L98" s="46">
        <v>40895.0</v>
      </c>
      <c r="M98" s="4">
        <v>0.758790608313</v>
      </c>
      <c r="N98" s="36">
        <v>40893.0</v>
      </c>
      <c r="O98" t="str">
        <f t="shared" si="10"/>
        <v>2011-12</v>
      </c>
      <c r="P98" t="str">
        <f t="shared" si="11"/>
        <v>2011-12</v>
      </c>
      <c r="Q98" s="36">
        <v>41682.0</v>
      </c>
      <c r="R98" s="4">
        <v>0.589231463397</v>
      </c>
      <c r="S98" s="36">
        <v>41649.0</v>
      </c>
      <c r="T98" t="str">
        <f t="shared" si="12"/>
        <v>2014-02</v>
      </c>
      <c r="U98" t="str">
        <f t="shared" si="13"/>
        <v>2014-01</v>
      </c>
      <c r="W98" s="36">
        <v>43112.0</v>
      </c>
      <c r="X98" s="4">
        <v>0.635168141153</v>
      </c>
      <c r="Y98" s="4">
        <v>0.372113735381</v>
      </c>
      <c r="Z98" s="4">
        <v>0.494702692503</v>
      </c>
      <c r="AB98" s="36">
        <v>39825.0</v>
      </c>
      <c r="AC98" s="4">
        <v>0.565976225884</v>
      </c>
      <c r="AD98" s="47">
        <v>40156.0</v>
      </c>
      <c r="AE98" t="str">
        <f t="shared" si="14"/>
        <v>2009-01</v>
      </c>
      <c r="AF98" t="str">
        <f t="shared" si="15"/>
        <v>2009-12</v>
      </c>
      <c r="AG98" s="36">
        <v>40943.0</v>
      </c>
      <c r="AH98" s="4">
        <v>0.884156116363</v>
      </c>
      <c r="AI98" s="47">
        <v>40964.0</v>
      </c>
      <c r="AJ98" s="48" t="str">
        <f t="shared" si="16"/>
        <v>2012-02</v>
      </c>
      <c r="AK98" s="49" t="str">
        <f t="shared" si="17"/>
        <v>2012-02</v>
      </c>
      <c r="AL98" s="36">
        <v>40452.0</v>
      </c>
      <c r="AM98" s="4">
        <v>0.727002170654</v>
      </c>
      <c r="AN98" s="47">
        <v>40746.0</v>
      </c>
      <c r="AO98" s="49" t="str">
        <f t="shared" si="18"/>
        <v>2010-10</v>
      </c>
      <c r="AP98" t="str">
        <f t="shared" si="19"/>
        <v>2011-07</v>
      </c>
    </row>
    <row r="99">
      <c r="A99" s="36">
        <v>40052.0</v>
      </c>
      <c r="B99" s="34">
        <v>0.778529301121</v>
      </c>
      <c r="C99" s="36">
        <v>39988.0</v>
      </c>
      <c r="D99" t="str">
        <f t="shared" si="6"/>
        <v>2009-08</v>
      </c>
      <c r="E99" s="44" t="str">
        <f t="shared" si="7"/>
        <v>2009-06</v>
      </c>
      <c r="F99" s="45">
        <v>8143.0</v>
      </c>
      <c r="G99" s="36">
        <v>40493.0</v>
      </c>
      <c r="H99" s="34">
        <v>0.486184643972</v>
      </c>
      <c r="I99" s="36">
        <v>40507.0</v>
      </c>
      <c r="J99" t="str">
        <f t="shared" si="8"/>
        <v>2010-11</v>
      </c>
      <c r="K99" s="44" t="str">
        <f t="shared" si="9"/>
        <v>2010-11</v>
      </c>
      <c r="L99" s="46">
        <v>40896.0</v>
      </c>
      <c r="M99" s="4">
        <v>0.847680383446</v>
      </c>
      <c r="N99" s="36">
        <v>40897.0</v>
      </c>
      <c r="O99" t="str">
        <f t="shared" si="10"/>
        <v>2011-12</v>
      </c>
      <c r="P99" t="str">
        <f t="shared" si="11"/>
        <v>2011-12</v>
      </c>
      <c r="Q99" s="36">
        <v>41683.0</v>
      </c>
      <c r="R99" s="4">
        <v>0.709850714963</v>
      </c>
      <c r="S99" s="36">
        <v>41652.0</v>
      </c>
      <c r="T99" t="str">
        <f t="shared" si="12"/>
        <v>2014-02</v>
      </c>
      <c r="U99" t="str">
        <f t="shared" si="13"/>
        <v>2014-01</v>
      </c>
      <c r="W99" s="36">
        <v>43115.0</v>
      </c>
      <c r="X99" s="4">
        <v>0.681703141863</v>
      </c>
      <c r="Y99" s="4">
        <v>0.386770515488</v>
      </c>
      <c r="Z99" s="4">
        <v>0.500575581986</v>
      </c>
      <c r="AB99" s="36">
        <v>39826.0</v>
      </c>
      <c r="AC99" s="4">
        <v>0.695287891369</v>
      </c>
      <c r="AD99" s="47">
        <v>40156.0</v>
      </c>
      <c r="AE99" t="str">
        <f t="shared" si="14"/>
        <v>2009-01</v>
      </c>
      <c r="AF99" t="str">
        <f t="shared" si="15"/>
        <v>2009-12</v>
      </c>
      <c r="AG99" s="36">
        <v>40944.0</v>
      </c>
      <c r="AH99" s="4">
        <v>0.734218115226</v>
      </c>
      <c r="AI99" s="47">
        <v>40969.0</v>
      </c>
      <c r="AJ99" s="48" t="str">
        <f t="shared" si="16"/>
        <v>2012-02</v>
      </c>
      <c r="AK99" s="49" t="str">
        <f t="shared" si="17"/>
        <v>2012-03</v>
      </c>
      <c r="AL99" s="36">
        <v>40453.0</v>
      </c>
      <c r="AM99" s="4">
        <v>0.859314439407</v>
      </c>
      <c r="AN99" s="47">
        <v>40747.0</v>
      </c>
      <c r="AO99" s="49" t="str">
        <f t="shared" si="18"/>
        <v>2010-10</v>
      </c>
      <c r="AP99" t="str">
        <f t="shared" si="19"/>
        <v>2011-07</v>
      </c>
    </row>
    <row r="100">
      <c r="A100" s="36">
        <v>40053.0</v>
      </c>
      <c r="B100" s="34">
        <v>0.875947375232</v>
      </c>
      <c r="C100" s="36">
        <v>39994.0</v>
      </c>
      <c r="D100" t="str">
        <f t="shared" si="6"/>
        <v>2009-08</v>
      </c>
      <c r="E100" s="44" t="str">
        <f t="shared" si="7"/>
        <v>2009-06</v>
      </c>
      <c r="F100" s="45">
        <v>8124.0</v>
      </c>
      <c r="G100" s="36">
        <v>40494.0</v>
      </c>
      <c r="H100" s="34">
        <v>0.672956256531</v>
      </c>
      <c r="I100" s="36">
        <v>40519.0</v>
      </c>
      <c r="J100" t="str">
        <f t="shared" si="8"/>
        <v>2010-11</v>
      </c>
      <c r="K100" s="44" t="str">
        <f t="shared" si="9"/>
        <v>2010-12</v>
      </c>
      <c r="L100" s="46">
        <v>40897.0</v>
      </c>
      <c r="M100" s="4">
        <v>0.67056852357</v>
      </c>
      <c r="N100" s="36">
        <v>40931.0</v>
      </c>
      <c r="O100" t="str">
        <f t="shared" si="10"/>
        <v>2011-12</v>
      </c>
      <c r="P100" t="str">
        <f t="shared" si="11"/>
        <v>2012-01</v>
      </c>
      <c r="Q100" s="36">
        <v>41687.0</v>
      </c>
      <c r="R100" s="4">
        <v>0.767382039085</v>
      </c>
      <c r="S100" s="36">
        <v>41658.0</v>
      </c>
      <c r="T100" t="str">
        <f t="shared" si="12"/>
        <v>2014-02</v>
      </c>
      <c r="U100" t="str">
        <f t="shared" si="13"/>
        <v>2014-01</v>
      </c>
      <c r="W100" s="36">
        <v>43118.0</v>
      </c>
      <c r="X100" s="4">
        <v>0.656747035916</v>
      </c>
      <c r="Y100" s="4">
        <v>0.392356917034</v>
      </c>
      <c r="Z100" s="4">
        <v>0.503765675506</v>
      </c>
      <c r="AB100" s="36">
        <v>39827.0</v>
      </c>
      <c r="AC100" s="4">
        <v>0.709316338721</v>
      </c>
      <c r="AD100" s="47">
        <v>40208.0</v>
      </c>
      <c r="AE100" t="str">
        <f t="shared" si="14"/>
        <v>2009-01</v>
      </c>
      <c r="AF100" t="str">
        <f t="shared" si="15"/>
        <v>2010-01</v>
      </c>
      <c r="AG100" s="36">
        <v>40949.0</v>
      </c>
      <c r="AH100" s="4">
        <v>0.454928786443</v>
      </c>
      <c r="AI100" s="47">
        <v>40973.0</v>
      </c>
      <c r="AJ100" s="48" t="str">
        <f t="shared" si="16"/>
        <v>2012-02</v>
      </c>
      <c r="AK100" s="49" t="str">
        <f t="shared" si="17"/>
        <v>2012-03</v>
      </c>
      <c r="AL100" s="36">
        <v>40459.0</v>
      </c>
      <c r="AM100" s="4">
        <v>0.746507166623</v>
      </c>
      <c r="AN100" s="47">
        <v>40662.0</v>
      </c>
      <c r="AO100" s="49" t="str">
        <f t="shared" si="18"/>
        <v>2010-10</v>
      </c>
      <c r="AP100" t="str">
        <f t="shared" si="19"/>
        <v>2011-04</v>
      </c>
    </row>
    <row r="101">
      <c r="A101" s="36">
        <v>40060.0</v>
      </c>
      <c r="B101" s="34">
        <v>0.761434424952</v>
      </c>
      <c r="C101" s="36">
        <v>40021.0</v>
      </c>
      <c r="D101" t="str">
        <f t="shared" si="6"/>
        <v>2009-09</v>
      </c>
      <c r="E101" s="44" t="str">
        <f t="shared" si="7"/>
        <v>2009-07</v>
      </c>
      <c r="F101" s="45">
        <v>8112.0</v>
      </c>
      <c r="G101" s="36">
        <v>40501.0</v>
      </c>
      <c r="H101" s="34">
        <v>0.717367196831</v>
      </c>
      <c r="I101" s="36">
        <v>40523.0</v>
      </c>
      <c r="J101" t="str">
        <f t="shared" si="8"/>
        <v>2010-11</v>
      </c>
      <c r="K101" s="44" t="str">
        <f t="shared" si="9"/>
        <v>2010-12</v>
      </c>
      <c r="L101" s="46">
        <v>40898.0</v>
      </c>
      <c r="M101" s="4">
        <v>0.594808644941</v>
      </c>
      <c r="N101" s="36">
        <v>40956.0</v>
      </c>
      <c r="O101" t="str">
        <f t="shared" si="10"/>
        <v>2011-12</v>
      </c>
      <c r="P101" t="str">
        <f t="shared" si="11"/>
        <v>2012-02</v>
      </c>
      <c r="Q101" s="36">
        <v>41688.0</v>
      </c>
      <c r="R101" s="4">
        <v>0.69810355441</v>
      </c>
      <c r="S101" s="36">
        <v>41666.0</v>
      </c>
      <c r="T101" t="str">
        <f t="shared" si="12"/>
        <v>2014-02</v>
      </c>
      <c r="U101" t="str">
        <f t="shared" si="13"/>
        <v>2014-01</v>
      </c>
      <c r="W101" s="36">
        <v>43121.0</v>
      </c>
      <c r="X101" s="4">
        <v>0.670166047279</v>
      </c>
      <c r="Y101" s="4">
        <v>0.393729089453</v>
      </c>
      <c r="Z101" s="4">
        <v>0.509725242332</v>
      </c>
      <c r="AB101" s="36">
        <v>39832.0</v>
      </c>
      <c r="AC101" s="4">
        <v>0.725730297578</v>
      </c>
      <c r="AD101" s="47">
        <v>40291.0</v>
      </c>
      <c r="AE101" t="str">
        <f t="shared" si="14"/>
        <v>2009-01</v>
      </c>
      <c r="AF101" t="str">
        <f t="shared" si="15"/>
        <v>2010-04</v>
      </c>
      <c r="AG101" s="36">
        <v>40950.0</v>
      </c>
      <c r="AH101" s="4">
        <v>0.817803602582</v>
      </c>
      <c r="AI101" s="47">
        <v>40995.0</v>
      </c>
      <c r="AJ101" s="48" t="str">
        <f t="shared" si="16"/>
        <v>2012-02</v>
      </c>
      <c r="AK101" s="49" t="str">
        <f t="shared" si="17"/>
        <v>2012-03</v>
      </c>
      <c r="AL101" s="36">
        <v>40460.0</v>
      </c>
      <c r="AM101" s="4">
        <v>0.813680479742</v>
      </c>
      <c r="AN101" s="47">
        <v>40686.0</v>
      </c>
      <c r="AO101" s="49" t="str">
        <f t="shared" si="18"/>
        <v>2010-10</v>
      </c>
      <c r="AP101" t="str">
        <f t="shared" si="19"/>
        <v>2011-05</v>
      </c>
    </row>
    <row r="102">
      <c r="A102" s="36">
        <v>40067.0</v>
      </c>
      <c r="B102" s="34">
        <v>0.802763838622</v>
      </c>
      <c r="C102" s="36">
        <v>40026.0</v>
      </c>
      <c r="D102" t="str">
        <f t="shared" si="6"/>
        <v>2009-09</v>
      </c>
      <c r="E102" s="44" t="str">
        <f t="shared" si="7"/>
        <v>2009-08</v>
      </c>
      <c r="F102" s="45">
        <v>8063.0</v>
      </c>
      <c r="G102" s="36">
        <v>40507.0</v>
      </c>
      <c r="H102" s="34">
        <v>0.824184395536</v>
      </c>
      <c r="I102" s="36">
        <v>40557.0</v>
      </c>
      <c r="J102" t="str">
        <f t="shared" si="8"/>
        <v>2010-11</v>
      </c>
      <c r="K102" s="44" t="str">
        <f t="shared" si="9"/>
        <v>2011-01</v>
      </c>
      <c r="L102" s="46">
        <v>40899.0</v>
      </c>
      <c r="M102" s="4">
        <v>0.692773603671</v>
      </c>
      <c r="N102" s="36">
        <v>40999.0</v>
      </c>
      <c r="O102" t="str">
        <f t="shared" si="10"/>
        <v>2011-12</v>
      </c>
      <c r="P102" t="str">
        <f t="shared" si="11"/>
        <v>2012-03</v>
      </c>
      <c r="Q102" s="36">
        <v>41690.0</v>
      </c>
      <c r="R102" s="4">
        <v>0.947828004261</v>
      </c>
      <c r="S102" s="36">
        <v>41672.0</v>
      </c>
      <c r="T102" t="str">
        <f t="shared" si="12"/>
        <v>2014-02</v>
      </c>
      <c r="U102" t="str">
        <f t="shared" si="13"/>
        <v>2014-02</v>
      </c>
      <c r="W102" s="36">
        <v>43124.0</v>
      </c>
      <c r="X102" s="4">
        <v>0.698786578005</v>
      </c>
      <c r="Y102" s="4">
        <v>0.382545545252</v>
      </c>
      <c r="Z102" s="4">
        <v>0.497941222322</v>
      </c>
      <c r="AB102" s="36">
        <v>39833.0</v>
      </c>
      <c r="AC102" s="4">
        <v>0.652758148405</v>
      </c>
      <c r="AD102" s="47">
        <v>40412.0</v>
      </c>
      <c r="AE102" t="str">
        <f t="shared" si="14"/>
        <v>2009-01</v>
      </c>
      <c r="AF102" t="str">
        <f t="shared" si="15"/>
        <v>2010-08</v>
      </c>
      <c r="AG102" s="36">
        <v>40951.0</v>
      </c>
      <c r="AH102" s="4">
        <v>0.770491859049</v>
      </c>
      <c r="AI102" s="47">
        <v>40996.0</v>
      </c>
      <c r="AJ102" s="48" t="str">
        <f t="shared" si="16"/>
        <v>2012-02</v>
      </c>
      <c r="AK102" s="49" t="str">
        <f t="shared" si="17"/>
        <v>2012-03</v>
      </c>
      <c r="AL102" s="36">
        <v>40466.0</v>
      </c>
      <c r="AM102" s="4">
        <v>0.739085519301</v>
      </c>
      <c r="AN102" s="47">
        <v>40690.0</v>
      </c>
      <c r="AO102" s="49" t="str">
        <f t="shared" si="18"/>
        <v>2010-10</v>
      </c>
      <c r="AP102" t="str">
        <f t="shared" si="19"/>
        <v>2011-05</v>
      </c>
    </row>
    <row r="103">
      <c r="A103" s="36">
        <v>40069.0</v>
      </c>
      <c r="B103" s="34">
        <v>0.767622109663</v>
      </c>
      <c r="C103" s="36">
        <v>40031.0</v>
      </c>
      <c r="D103" t="str">
        <f t="shared" si="6"/>
        <v>2009-09</v>
      </c>
      <c r="E103" s="44" t="str">
        <f t="shared" si="7"/>
        <v>2009-08</v>
      </c>
      <c r="F103" s="45">
        <v>8015.0</v>
      </c>
      <c r="G103" s="36">
        <v>40517.0</v>
      </c>
      <c r="H103" s="34">
        <v>0.55885815864</v>
      </c>
      <c r="I103" s="36">
        <v>40570.0</v>
      </c>
      <c r="J103" t="str">
        <f t="shared" si="8"/>
        <v>2010-12</v>
      </c>
      <c r="K103" s="44" t="str">
        <f t="shared" si="9"/>
        <v>2011-01</v>
      </c>
      <c r="L103" s="46">
        <v>40902.0</v>
      </c>
      <c r="M103" s="4">
        <v>0.810869445192</v>
      </c>
      <c r="N103" s="36">
        <v>41017.0</v>
      </c>
      <c r="O103" t="str">
        <f t="shared" si="10"/>
        <v>2011-12</v>
      </c>
      <c r="P103" t="str">
        <f t="shared" si="11"/>
        <v>2012-04</v>
      </c>
      <c r="Q103" s="36">
        <v>41694.0</v>
      </c>
      <c r="R103" s="4">
        <v>0.428718591175</v>
      </c>
      <c r="S103" s="36">
        <v>41673.0</v>
      </c>
      <c r="T103" t="str">
        <f t="shared" si="12"/>
        <v>2014-02</v>
      </c>
      <c r="U103" t="str">
        <f t="shared" si="13"/>
        <v>2014-02</v>
      </c>
      <c r="W103" s="36">
        <v>43127.0</v>
      </c>
      <c r="X103" s="4">
        <v>0.673070595112</v>
      </c>
      <c r="Y103" s="4">
        <v>0.396925623385</v>
      </c>
      <c r="Z103" s="4">
        <v>0.490988128371</v>
      </c>
      <c r="AB103" s="36">
        <v>39840.0</v>
      </c>
      <c r="AC103" s="4">
        <v>0.663745777111</v>
      </c>
      <c r="AD103" s="47">
        <v>40496.0</v>
      </c>
      <c r="AE103" t="str">
        <f t="shared" si="14"/>
        <v>2009-01</v>
      </c>
      <c r="AF103" t="str">
        <f t="shared" si="15"/>
        <v>2010-11</v>
      </c>
      <c r="AG103" s="36">
        <v>40952.0</v>
      </c>
      <c r="AH103" s="4">
        <v>0.813296898411</v>
      </c>
      <c r="AI103" s="47">
        <v>40998.0</v>
      </c>
      <c r="AJ103" s="48" t="str">
        <f t="shared" si="16"/>
        <v>2012-02</v>
      </c>
      <c r="AK103" s="49" t="str">
        <f t="shared" si="17"/>
        <v>2012-03</v>
      </c>
      <c r="AL103" s="36">
        <v>40467.0</v>
      </c>
      <c r="AM103" s="4">
        <v>0.738005718073</v>
      </c>
      <c r="AN103" s="47">
        <v>40700.0</v>
      </c>
      <c r="AO103" s="49" t="str">
        <f t="shared" si="18"/>
        <v>2010-10</v>
      </c>
      <c r="AP103" t="str">
        <f t="shared" si="19"/>
        <v>2011-06</v>
      </c>
    </row>
    <row r="104">
      <c r="A104" s="36">
        <v>40080.0</v>
      </c>
      <c r="B104" s="34">
        <v>0.672296806141</v>
      </c>
      <c r="C104" s="36">
        <v>40038.0</v>
      </c>
      <c r="D104" t="str">
        <f t="shared" si="6"/>
        <v>2009-09</v>
      </c>
      <c r="E104" s="44" t="str">
        <f t="shared" si="7"/>
        <v>2009-08</v>
      </c>
      <c r="F104" s="45">
        <v>7968.0</v>
      </c>
      <c r="G104" s="36">
        <v>40523.0</v>
      </c>
      <c r="H104" s="34">
        <v>0.581744451709</v>
      </c>
      <c r="I104" s="36">
        <v>40583.0</v>
      </c>
      <c r="J104" t="str">
        <f t="shared" si="8"/>
        <v>2010-12</v>
      </c>
      <c r="K104" s="44" t="str">
        <f t="shared" si="9"/>
        <v>2011-02</v>
      </c>
      <c r="L104" s="46">
        <v>40903.0</v>
      </c>
      <c r="M104" s="4">
        <v>0.849034546824</v>
      </c>
      <c r="N104" s="36">
        <v>41018.0</v>
      </c>
      <c r="O104" t="str">
        <f t="shared" si="10"/>
        <v>2011-12</v>
      </c>
      <c r="P104" t="str">
        <f t="shared" si="11"/>
        <v>2012-04</v>
      </c>
      <c r="Q104" s="36">
        <v>41695.0</v>
      </c>
      <c r="R104" s="4">
        <v>0.673017470626</v>
      </c>
      <c r="S104" s="36">
        <v>41677.0</v>
      </c>
      <c r="T104" t="str">
        <f t="shared" si="12"/>
        <v>2014-02</v>
      </c>
      <c r="U104" t="str">
        <f t="shared" si="13"/>
        <v>2014-02</v>
      </c>
      <c r="W104" s="36">
        <v>43129.0</v>
      </c>
      <c r="X104" s="4">
        <v>0.6861601834</v>
      </c>
      <c r="Y104" s="4">
        <v>0.375325436519</v>
      </c>
      <c r="Z104" s="4">
        <v>0.510435573083</v>
      </c>
      <c r="AB104" s="36">
        <v>39841.0</v>
      </c>
      <c r="AC104" s="4">
        <v>0.563947273823</v>
      </c>
      <c r="AD104" s="47">
        <v>40622.0</v>
      </c>
      <c r="AE104" t="str">
        <f t="shared" si="14"/>
        <v>2009-01</v>
      </c>
      <c r="AF104" t="str">
        <f t="shared" si="15"/>
        <v>2011-03</v>
      </c>
      <c r="AG104" s="36">
        <v>40956.0</v>
      </c>
      <c r="AH104" s="4">
        <v>0.695065173546</v>
      </c>
      <c r="AI104" s="47">
        <v>40998.0</v>
      </c>
      <c r="AJ104" s="48" t="str">
        <f t="shared" si="16"/>
        <v>2012-02</v>
      </c>
      <c r="AK104" s="49" t="str">
        <f t="shared" si="17"/>
        <v>2012-03</v>
      </c>
      <c r="AL104" s="36">
        <v>40473.0</v>
      </c>
      <c r="AM104" s="4">
        <v>0.690162205043</v>
      </c>
      <c r="AN104" s="47">
        <v>40710.0</v>
      </c>
      <c r="AO104" s="49" t="str">
        <f t="shared" si="18"/>
        <v>2010-10</v>
      </c>
      <c r="AP104" t="str">
        <f t="shared" si="19"/>
        <v>2011-06</v>
      </c>
    </row>
    <row r="105">
      <c r="A105" s="36">
        <v>40082.0</v>
      </c>
      <c r="B105" s="34">
        <v>0.767885052386</v>
      </c>
      <c r="C105" s="36">
        <v>40046.0</v>
      </c>
      <c r="D105" t="str">
        <f t="shared" si="6"/>
        <v>2009-09</v>
      </c>
      <c r="E105" s="44" t="str">
        <f t="shared" si="7"/>
        <v>2009-08</v>
      </c>
      <c r="F105" s="45">
        <v>7909.0</v>
      </c>
      <c r="G105" s="36">
        <v>40529.0</v>
      </c>
      <c r="H105" s="34">
        <v>0.499449782916</v>
      </c>
      <c r="I105" s="36">
        <v>40605.0</v>
      </c>
      <c r="J105" t="str">
        <f t="shared" si="8"/>
        <v>2010-12</v>
      </c>
      <c r="K105" s="44" t="str">
        <f t="shared" si="9"/>
        <v>2011-03</v>
      </c>
      <c r="L105" s="46">
        <v>40904.0</v>
      </c>
      <c r="M105" s="4">
        <v>0.612073967905</v>
      </c>
      <c r="N105" s="36">
        <v>41050.0</v>
      </c>
      <c r="O105" t="str">
        <f t="shared" si="10"/>
        <v>2011-12</v>
      </c>
      <c r="P105" t="str">
        <f t="shared" si="11"/>
        <v>2012-05</v>
      </c>
      <c r="Q105" s="36">
        <v>41696.0</v>
      </c>
      <c r="R105" s="4">
        <v>0.645476196044</v>
      </c>
      <c r="S105" s="36">
        <v>41679.0</v>
      </c>
      <c r="T105" t="str">
        <f t="shared" si="12"/>
        <v>2014-02</v>
      </c>
      <c r="U105" t="str">
        <f t="shared" si="13"/>
        <v>2014-02</v>
      </c>
      <c r="W105" s="36">
        <v>43130.0</v>
      </c>
      <c r="X105" s="4">
        <v>0.645300564436</v>
      </c>
      <c r="Y105" s="4">
        <v>0.380269807146</v>
      </c>
      <c r="Z105" s="4">
        <v>0.50129307177</v>
      </c>
      <c r="AB105" s="36">
        <v>39847.0</v>
      </c>
      <c r="AC105" s="4">
        <v>0.65203162571</v>
      </c>
      <c r="AD105" s="47">
        <v>40804.0</v>
      </c>
      <c r="AE105" t="str">
        <f t="shared" si="14"/>
        <v>2009-02</v>
      </c>
      <c r="AF105" t="str">
        <f t="shared" si="15"/>
        <v>2011-09</v>
      </c>
      <c r="AG105" s="36">
        <v>40957.0</v>
      </c>
      <c r="AH105" s="4">
        <v>0.846740277068</v>
      </c>
      <c r="AI105" s="47">
        <v>41000.0</v>
      </c>
      <c r="AJ105" s="48" t="str">
        <f t="shared" si="16"/>
        <v>2012-02</v>
      </c>
      <c r="AK105" s="49" t="str">
        <f t="shared" si="17"/>
        <v>2012-04</v>
      </c>
      <c r="AL105" s="36">
        <v>40474.0</v>
      </c>
      <c r="AM105" s="4">
        <v>0.714286237485</v>
      </c>
      <c r="AN105" s="47">
        <v>40623.0</v>
      </c>
      <c r="AO105" s="49" t="str">
        <f t="shared" si="18"/>
        <v>2010-10</v>
      </c>
      <c r="AP105" t="str">
        <f t="shared" si="19"/>
        <v>2011-03</v>
      </c>
    </row>
    <row r="106">
      <c r="A106" s="36">
        <v>40083.0</v>
      </c>
      <c r="B106" s="34">
        <v>0.0875769046951</v>
      </c>
      <c r="C106" s="36">
        <v>40047.0</v>
      </c>
      <c r="D106" t="str">
        <f t="shared" si="6"/>
        <v>2009-09</v>
      </c>
      <c r="E106" s="44" t="str">
        <f t="shared" si="7"/>
        <v>2009-08</v>
      </c>
      <c r="F106" s="45">
        <v>7890.0</v>
      </c>
      <c r="G106" s="36">
        <v>40536.0</v>
      </c>
      <c r="H106" s="34">
        <v>0.563406318084</v>
      </c>
      <c r="I106" s="36">
        <v>40616.0</v>
      </c>
      <c r="J106" t="str">
        <f t="shared" si="8"/>
        <v>2010-12</v>
      </c>
      <c r="K106" s="44" t="str">
        <f t="shared" si="9"/>
        <v>2011-03</v>
      </c>
      <c r="L106" s="46">
        <v>40905.0</v>
      </c>
      <c r="M106" s="4">
        <v>0.669933979799</v>
      </c>
      <c r="N106" s="36">
        <v>41051.0</v>
      </c>
      <c r="O106" t="str">
        <f t="shared" si="10"/>
        <v>2011-12</v>
      </c>
      <c r="P106" t="str">
        <f t="shared" si="11"/>
        <v>2012-05</v>
      </c>
      <c r="Q106" s="36">
        <v>41697.0</v>
      </c>
      <c r="R106" s="4">
        <v>0.434867837179</v>
      </c>
      <c r="S106" s="36">
        <v>41681.0</v>
      </c>
      <c r="T106" t="str">
        <f t="shared" si="12"/>
        <v>2014-02</v>
      </c>
      <c r="U106" t="str">
        <f t="shared" si="13"/>
        <v>2014-02</v>
      </c>
      <c r="W106" s="36">
        <v>43132.0</v>
      </c>
      <c r="X106" s="4">
        <v>0.627968218427</v>
      </c>
      <c r="Y106" s="4">
        <v>0.435279982921</v>
      </c>
      <c r="Z106" s="4">
        <v>0.463535680793</v>
      </c>
      <c r="AB106" s="36">
        <v>39854.0</v>
      </c>
      <c r="AC106" s="4">
        <v>0.724354619953</v>
      </c>
      <c r="AD106" s="47">
        <v>41393.0</v>
      </c>
      <c r="AE106" t="str">
        <f t="shared" si="14"/>
        <v>2009-02</v>
      </c>
      <c r="AF106" t="str">
        <f t="shared" si="15"/>
        <v>2013-04</v>
      </c>
      <c r="AG106" s="36">
        <v>40958.0</v>
      </c>
      <c r="AH106" s="4">
        <v>0.598307314081</v>
      </c>
      <c r="AI106" s="47">
        <v>41003.0</v>
      </c>
      <c r="AJ106" s="48" t="str">
        <f t="shared" si="16"/>
        <v>2012-02</v>
      </c>
      <c r="AK106" s="49" t="str">
        <f t="shared" si="17"/>
        <v>2012-04</v>
      </c>
      <c r="AL106" s="36">
        <v>40480.0</v>
      </c>
      <c r="AM106" s="4">
        <v>0.718749818415</v>
      </c>
      <c r="AN106" s="47">
        <v>40752.0</v>
      </c>
      <c r="AO106" s="49" t="str">
        <f t="shared" si="18"/>
        <v>2010-10</v>
      </c>
      <c r="AP106" t="str">
        <f t="shared" si="19"/>
        <v>2011-07</v>
      </c>
    </row>
    <row r="107">
      <c r="A107" s="36">
        <v>40087.0</v>
      </c>
      <c r="B107" s="34">
        <v>0.502324488047</v>
      </c>
      <c r="C107" s="36">
        <v>40052.0</v>
      </c>
      <c r="D107" t="str">
        <f t="shared" si="6"/>
        <v>2009-10</v>
      </c>
      <c r="E107" s="44" t="str">
        <f t="shared" si="7"/>
        <v>2009-08</v>
      </c>
      <c r="F107" s="45">
        <v>7861.0</v>
      </c>
      <c r="G107" s="36">
        <v>40557.0</v>
      </c>
      <c r="H107" s="34">
        <v>0.747897329691</v>
      </c>
      <c r="I107" s="36">
        <v>40634.0</v>
      </c>
      <c r="J107" t="str">
        <f t="shared" si="8"/>
        <v>2011-01</v>
      </c>
      <c r="K107" s="44" t="str">
        <f t="shared" si="9"/>
        <v>2011-04</v>
      </c>
      <c r="L107" s="46">
        <v>40911.0</v>
      </c>
      <c r="M107" s="4">
        <v>0.763491332722</v>
      </c>
      <c r="N107" s="36">
        <v>41124.0</v>
      </c>
      <c r="O107" t="str">
        <f t="shared" si="10"/>
        <v>2012-01</v>
      </c>
      <c r="P107" t="str">
        <f t="shared" si="11"/>
        <v>2012-08</v>
      </c>
      <c r="Q107" s="36">
        <v>41701.0</v>
      </c>
      <c r="R107" s="4">
        <v>0.63899106633</v>
      </c>
      <c r="S107" s="36">
        <v>41684.0</v>
      </c>
      <c r="T107" t="str">
        <f t="shared" si="12"/>
        <v>2014-03</v>
      </c>
      <c r="U107" t="str">
        <f t="shared" si="13"/>
        <v>2014-02</v>
      </c>
      <c r="W107" s="36">
        <v>43133.0</v>
      </c>
      <c r="X107" s="4">
        <v>0.642707975285</v>
      </c>
      <c r="Y107" s="4">
        <v>0.375548947255</v>
      </c>
      <c r="Z107" s="4">
        <v>0.487706373671</v>
      </c>
      <c r="AB107" s="36">
        <v>39855.0</v>
      </c>
      <c r="AC107" s="4">
        <v>0.480623244564</v>
      </c>
      <c r="AD107" s="47">
        <v>40156.0</v>
      </c>
      <c r="AE107" t="str">
        <f t="shared" si="14"/>
        <v>2009-02</v>
      </c>
      <c r="AF107" t="str">
        <f t="shared" si="15"/>
        <v>2009-12</v>
      </c>
      <c r="AG107" s="36">
        <v>40959.0</v>
      </c>
      <c r="AH107" s="4">
        <v>0.838000350999</v>
      </c>
      <c r="AI107" s="47">
        <v>41004.0</v>
      </c>
      <c r="AJ107" s="48" t="str">
        <f t="shared" si="16"/>
        <v>2012-02</v>
      </c>
      <c r="AK107" s="49" t="str">
        <f t="shared" si="17"/>
        <v>2012-04</v>
      </c>
      <c r="AL107" s="36">
        <v>40481.0</v>
      </c>
      <c r="AM107" s="4">
        <v>0.460609197673</v>
      </c>
      <c r="AN107" s="47">
        <v>40781.0</v>
      </c>
      <c r="AO107" s="49" t="str">
        <f t="shared" si="18"/>
        <v>2010-10</v>
      </c>
      <c r="AP107" t="str">
        <f t="shared" si="19"/>
        <v>2011-08</v>
      </c>
    </row>
    <row r="108">
      <c r="A108" s="36">
        <v>40088.0</v>
      </c>
      <c r="B108" s="34">
        <v>0.823380397417</v>
      </c>
      <c r="C108" s="36">
        <v>40060.0</v>
      </c>
      <c r="D108" t="str">
        <f t="shared" si="6"/>
        <v>2009-10</v>
      </c>
      <c r="E108" s="44" t="str">
        <f t="shared" si="7"/>
        <v>2009-09</v>
      </c>
      <c r="F108" s="45">
        <v>7844.0</v>
      </c>
      <c r="G108" s="36">
        <v>40563.0</v>
      </c>
      <c r="H108" s="34">
        <v>0.641727276553</v>
      </c>
      <c r="I108" s="36">
        <v>40644.0</v>
      </c>
      <c r="J108" t="str">
        <f t="shared" si="8"/>
        <v>2011-01</v>
      </c>
      <c r="K108" s="44" t="str">
        <f t="shared" si="9"/>
        <v>2011-04</v>
      </c>
      <c r="L108" s="46">
        <v>40912.0</v>
      </c>
      <c r="M108" s="4">
        <v>0.816354999213</v>
      </c>
      <c r="N108" s="36">
        <v>41207.0</v>
      </c>
      <c r="O108" t="str">
        <f t="shared" si="10"/>
        <v>2012-01</v>
      </c>
      <c r="P108" t="str">
        <f t="shared" si="11"/>
        <v>2012-10</v>
      </c>
      <c r="Q108" s="36">
        <v>41703.0</v>
      </c>
      <c r="R108" s="4">
        <v>0.487263687474</v>
      </c>
      <c r="S108" s="36">
        <v>41690.0</v>
      </c>
      <c r="T108" t="str">
        <f t="shared" si="12"/>
        <v>2014-03</v>
      </c>
      <c r="U108" t="str">
        <f t="shared" si="13"/>
        <v>2014-02</v>
      </c>
      <c r="W108" s="36">
        <v>43135.0</v>
      </c>
      <c r="X108" s="4">
        <v>0.627467555463</v>
      </c>
      <c r="Y108" s="4">
        <v>0.376937076934</v>
      </c>
      <c r="Z108" s="4">
        <v>0.499260300344</v>
      </c>
      <c r="AB108" s="36">
        <v>39861.0</v>
      </c>
      <c r="AC108" s="4">
        <v>0.598742542651</v>
      </c>
      <c r="AD108" s="47">
        <v>40238.0</v>
      </c>
      <c r="AE108" t="str">
        <f t="shared" si="14"/>
        <v>2009-02</v>
      </c>
      <c r="AF108" t="str">
        <f t="shared" si="15"/>
        <v>2010-03</v>
      </c>
      <c r="AG108" s="36">
        <v>40963.0</v>
      </c>
      <c r="AH108" s="4">
        <v>0.651463229261</v>
      </c>
      <c r="AI108" s="47">
        <v>41009.0</v>
      </c>
      <c r="AJ108" s="48" t="str">
        <f t="shared" si="16"/>
        <v>2012-02</v>
      </c>
      <c r="AK108" s="49" t="str">
        <f t="shared" si="17"/>
        <v>2012-04</v>
      </c>
      <c r="AL108" s="36">
        <v>40487.0</v>
      </c>
      <c r="AM108" s="4">
        <v>0.719959109051</v>
      </c>
      <c r="AN108" s="47">
        <v>40811.0</v>
      </c>
      <c r="AO108" s="49" t="str">
        <f t="shared" si="18"/>
        <v>2010-11</v>
      </c>
      <c r="AP108" t="str">
        <f t="shared" si="19"/>
        <v>2011-09</v>
      </c>
    </row>
    <row r="109">
      <c r="A109" s="36">
        <v>40089.0</v>
      </c>
      <c r="B109" s="34">
        <v>0.724683587734</v>
      </c>
      <c r="C109" s="36">
        <v>40061.0</v>
      </c>
      <c r="D109" t="str">
        <f t="shared" si="6"/>
        <v>2009-10</v>
      </c>
      <c r="E109" s="44" t="str">
        <f t="shared" si="7"/>
        <v>2009-09</v>
      </c>
      <c r="F109" s="45">
        <v>7743.0</v>
      </c>
      <c r="G109" s="36">
        <v>40564.0</v>
      </c>
      <c r="H109" s="34">
        <v>0.830757092088</v>
      </c>
      <c r="I109" s="36">
        <v>40701.0</v>
      </c>
      <c r="J109" t="str">
        <f t="shared" si="8"/>
        <v>2011-01</v>
      </c>
      <c r="K109" s="44" t="str">
        <f t="shared" si="9"/>
        <v>2011-06</v>
      </c>
      <c r="L109" s="46">
        <v>40916.0</v>
      </c>
      <c r="M109" s="4">
        <v>0.652719922428</v>
      </c>
      <c r="N109" s="36">
        <v>41291.0</v>
      </c>
      <c r="O109" t="str">
        <f t="shared" si="10"/>
        <v>2012-01</v>
      </c>
      <c r="P109" t="str">
        <f t="shared" si="11"/>
        <v>2013-01</v>
      </c>
      <c r="Q109" s="36">
        <v>41704.0</v>
      </c>
      <c r="R109" s="4">
        <v>0.681237852391</v>
      </c>
      <c r="S109" s="36">
        <v>41690.0</v>
      </c>
      <c r="T109" t="str">
        <f t="shared" si="12"/>
        <v>2014-03</v>
      </c>
      <c r="U109" t="str">
        <f t="shared" si="13"/>
        <v>2014-02</v>
      </c>
      <c r="W109" s="36">
        <v>43136.0</v>
      </c>
      <c r="X109" s="4">
        <v>0.6679150395</v>
      </c>
      <c r="Y109" s="4">
        <v>0.379848139004</v>
      </c>
      <c r="Z109" s="4">
        <v>0.498061212103</v>
      </c>
      <c r="AB109" s="36">
        <v>39862.0</v>
      </c>
      <c r="AC109" s="4">
        <v>0.648594391061</v>
      </c>
      <c r="AD109" s="47">
        <v>40251.0</v>
      </c>
      <c r="AE109" t="str">
        <f t="shared" si="14"/>
        <v>2009-02</v>
      </c>
      <c r="AF109" t="str">
        <f t="shared" si="15"/>
        <v>2010-03</v>
      </c>
      <c r="AG109" s="36">
        <v>40964.0</v>
      </c>
      <c r="AH109" s="4">
        <v>0.85274835855</v>
      </c>
      <c r="AI109" s="47">
        <v>41012.0</v>
      </c>
      <c r="AJ109" s="48" t="str">
        <f t="shared" si="16"/>
        <v>2012-02</v>
      </c>
      <c r="AK109" s="49" t="str">
        <f t="shared" si="17"/>
        <v>2012-04</v>
      </c>
      <c r="AL109" s="36">
        <v>40488.0</v>
      </c>
      <c r="AM109" s="4">
        <v>0.950647427539</v>
      </c>
      <c r="AN109" s="47">
        <v>40811.0</v>
      </c>
      <c r="AO109" s="49" t="str">
        <f t="shared" si="18"/>
        <v>2010-11</v>
      </c>
      <c r="AP109" t="str">
        <f t="shared" si="19"/>
        <v>2011-09</v>
      </c>
    </row>
    <row r="110">
      <c r="A110" s="36">
        <v>40090.0</v>
      </c>
      <c r="B110" s="34">
        <v>0.609599493681</v>
      </c>
      <c r="C110" s="36">
        <v>40067.0</v>
      </c>
      <c r="D110" t="str">
        <f t="shared" si="6"/>
        <v>2009-10</v>
      </c>
      <c r="E110" s="44" t="str">
        <f t="shared" si="7"/>
        <v>2009-09</v>
      </c>
      <c r="F110" s="45">
        <v>7686.0</v>
      </c>
      <c r="G110" s="36">
        <v>40565.0</v>
      </c>
      <c r="H110" s="34">
        <v>0.805357601184</v>
      </c>
      <c r="I110" s="36">
        <v>40724.0</v>
      </c>
      <c r="J110" t="str">
        <f t="shared" si="8"/>
        <v>2011-01</v>
      </c>
      <c r="K110" s="44" t="str">
        <f t="shared" si="9"/>
        <v>2011-06</v>
      </c>
      <c r="L110" s="46">
        <v>40917.0</v>
      </c>
      <c r="M110" s="4">
        <v>0.790093625445</v>
      </c>
      <c r="N110" s="36">
        <v>41292.0</v>
      </c>
      <c r="O110" t="str">
        <f t="shared" si="10"/>
        <v>2012-01</v>
      </c>
      <c r="P110" t="str">
        <f t="shared" si="11"/>
        <v>2013-01</v>
      </c>
      <c r="Q110" s="36">
        <v>41709.0</v>
      </c>
      <c r="R110" s="4">
        <v>0.117222184724</v>
      </c>
      <c r="S110" s="36">
        <v>41695.0</v>
      </c>
      <c r="T110" t="str">
        <f t="shared" si="12"/>
        <v>2014-03</v>
      </c>
      <c r="U110" t="str">
        <f t="shared" si="13"/>
        <v>2014-02</v>
      </c>
      <c r="W110" s="36">
        <v>43138.0</v>
      </c>
      <c r="X110" s="4">
        <v>0.703466260045</v>
      </c>
      <c r="Y110" s="4">
        <v>0.384128912352</v>
      </c>
      <c r="Z110" s="4">
        <v>0.510193960492</v>
      </c>
      <c r="AB110" s="36">
        <v>39868.0</v>
      </c>
      <c r="AC110" s="4">
        <v>0.71176171976</v>
      </c>
      <c r="AD110" s="47">
        <v>40265.0</v>
      </c>
      <c r="AE110" t="str">
        <f t="shared" si="14"/>
        <v>2009-02</v>
      </c>
      <c r="AF110" t="str">
        <f t="shared" si="15"/>
        <v>2010-03</v>
      </c>
      <c r="AG110" s="36">
        <v>40965.0</v>
      </c>
      <c r="AH110" s="4">
        <v>0.790109829502</v>
      </c>
      <c r="AI110" s="47">
        <v>41018.0</v>
      </c>
      <c r="AJ110" s="48" t="str">
        <f t="shared" si="16"/>
        <v>2012-02</v>
      </c>
      <c r="AK110" s="49" t="str">
        <f t="shared" si="17"/>
        <v>2012-04</v>
      </c>
      <c r="AL110" s="36">
        <v>40494.0</v>
      </c>
      <c r="AM110" s="4">
        <v>0.627847901969</v>
      </c>
      <c r="AN110" s="47">
        <v>40885.0</v>
      </c>
      <c r="AO110" s="49" t="str">
        <f t="shared" si="18"/>
        <v>2010-11</v>
      </c>
      <c r="AP110" t="str">
        <f t="shared" si="19"/>
        <v>2011-12</v>
      </c>
    </row>
    <row r="111">
      <c r="A111" s="36">
        <v>40091.0</v>
      </c>
      <c r="B111" s="34">
        <v>0.957651514166</v>
      </c>
      <c r="C111" s="36">
        <v>40074.0</v>
      </c>
      <c r="D111" t="str">
        <f t="shared" si="6"/>
        <v>2009-10</v>
      </c>
      <c r="E111" s="44" t="str">
        <f t="shared" si="7"/>
        <v>2009-09</v>
      </c>
      <c r="F111" s="45">
        <v>7596.0</v>
      </c>
      <c r="G111" s="36">
        <v>40566.0</v>
      </c>
      <c r="H111" s="34">
        <v>0.641727276553</v>
      </c>
      <c r="I111" s="36">
        <v>40753.0</v>
      </c>
      <c r="J111" t="str">
        <f t="shared" si="8"/>
        <v>2011-01</v>
      </c>
      <c r="K111" s="44" t="str">
        <f t="shared" si="9"/>
        <v>2011-07</v>
      </c>
      <c r="L111" s="46">
        <v>40918.0</v>
      </c>
      <c r="M111" s="4">
        <v>0.835980752762</v>
      </c>
      <c r="N111" s="36">
        <v>41320.0</v>
      </c>
      <c r="O111" t="str">
        <f t="shared" si="10"/>
        <v>2012-01</v>
      </c>
      <c r="P111" t="str">
        <f t="shared" si="11"/>
        <v>2013-02</v>
      </c>
      <c r="Q111" s="36">
        <v>41710.0</v>
      </c>
      <c r="R111" s="4">
        <v>0.645214776861</v>
      </c>
      <c r="S111" s="36">
        <v>41695.0</v>
      </c>
      <c r="T111" t="str">
        <f t="shared" si="12"/>
        <v>2014-03</v>
      </c>
      <c r="U111" t="str">
        <f t="shared" si="13"/>
        <v>2014-02</v>
      </c>
      <c r="W111" s="36">
        <v>43139.0</v>
      </c>
      <c r="X111" s="4">
        <v>0.688355311901</v>
      </c>
      <c r="Y111" s="4">
        <v>0.384457869462</v>
      </c>
      <c r="Z111" s="4">
        <v>0.50217446426</v>
      </c>
      <c r="AB111" s="36">
        <v>39869.0</v>
      </c>
      <c r="AC111" s="4">
        <v>0.570413130761</v>
      </c>
      <c r="AD111" s="47">
        <v>40281.0</v>
      </c>
      <c r="AE111" t="str">
        <f t="shared" si="14"/>
        <v>2009-02</v>
      </c>
      <c r="AF111" t="str">
        <f t="shared" si="15"/>
        <v>2010-04</v>
      </c>
      <c r="AG111" s="36">
        <v>40966.0</v>
      </c>
      <c r="AH111" s="4">
        <v>0.711841886619</v>
      </c>
      <c r="AI111" s="47">
        <v>41033.0</v>
      </c>
      <c r="AJ111" s="48" t="str">
        <f t="shared" si="16"/>
        <v>2012-02</v>
      </c>
      <c r="AK111" s="49" t="str">
        <f t="shared" si="17"/>
        <v>2012-05</v>
      </c>
      <c r="AL111" s="36">
        <v>40495.0</v>
      </c>
      <c r="AM111" s="4">
        <v>0.850288734872</v>
      </c>
      <c r="AN111" s="47">
        <v>40903.0</v>
      </c>
      <c r="AO111" s="49" t="str">
        <f t="shared" si="18"/>
        <v>2010-11</v>
      </c>
      <c r="AP111" t="str">
        <f t="shared" si="19"/>
        <v>2011-12</v>
      </c>
    </row>
    <row r="112">
      <c r="A112" s="36">
        <v>40104.0</v>
      </c>
      <c r="B112" s="34">
        <v>0.832447731876</v>
      </c>
      <c r="C112" s="36">
        <v>40080.0</v>
      </c>
      <c r="D112" t="str">
        <f t="shared" si="6"/>
        <v>2009-10</v>
      </c>
      <c r="E112" s="44" t="str">
        <f t="shared" si="7"/>
        <v>2009-09</v>
      </c>
      <c r="F112" s="45">
        <v>7596.0</v>
      </c>
      <c r="G112" s="36">
        <v>40572.0</v>
      </c>
      <c r="H112" s="34">
        <v>0.72970280823</v>
      </c>
      <c r="I112" s="36">
        <v>40775.0</v>
      </c>
      <c r="J112" t="str">
        <f t="shared" si="8"/>
        <v>2011-01</v>
      </c>
      <c r="K112" s="44" t="str">
        <f t="shared" si="9"/>
        <v>2011-08</v>
      </c>
      <c r="L112" s="46">
        <v>40919.0</v>
      </c>
      <c r="M112" s="4">
        <v>0.750118006448</v>
      </c>
      <c r="N112" s="36">
        <v>41480.0</v>
      </c>
      <c r="O112" t="str">
        <f t="shared" si="10"/>
        <v>2012-01</v>
      </c>
      <c r="P112" t="str">
        <f t="shared" si="11"/>
        <v>2013-07</v>
      </c>
      <c r="Q112" s="36">
        <v>41711.0</v>
      </c>
      <c r="R112" s="4">
        <v>0.490484458681</v>
      </c>
      <c r="S112" s="36">
        <v>41695.0</v>
      </c>
      <c r="T112" t="str">
        <f t="shared" si="12"/>
        <v>2014-03</v>
      </c>
      <c r="U112" t="str">
        <f t="shared" si="13"/>
        <v>2014-02</v>
      </c>
      <c r="W112" s="36">
        <v>43141.0</v>
      </c>
      <c r="X112" s="4">
        <v>0.687171059063</v>
      </c>
      <c r="Y112" s="4">
        <v>0.36378988057</v>
      </c>
      <c r="Z112" s="4">
        <v>0.479993859102</v>
      </c>
      <c r="AB112" s="36">
        <v>39875.0</v>
      </c>
      <c r="AC112" s="4">
        <v>0.678226661127</v>
      </c>
      <c r="AD112" s="47">
        <v>40156.0</v>
      </c>
      <c r="AE112" t="str">
        <f t="shared" si="14"/>
        <v>2009-03</v>
      </c>
      <c r="AF112" t="str">
        <f t="shared" si="15"/>
        <v>2009-12</v>
      </c>
      <c r="AG112" s="36">
        <v>40970.0</v>
      </c>
      <c r="AH112" s="4">
        <v>0.784284023866</v>
      </c>
      <c r="AI112" s="47">
        <v>41039.0</v>
      </c>
      <c r="AJ112" s="48" t="str">
        <f t="shared" si="16"/>
        <v>2012-03</v>
      </c>
      <c r="AK112" s="49" t="str">
        <f t="shared" si="17"/>
        <v>2012-05</v>
      </c>
      <c r="AL112" s="36">
        <v>40501.0</v>
      </c>
      <c r="AM112" s="4">
        <v>0.677463315407</v>
      </c>
      <c r="AN112" s="47">
        <v>40914.0</v>
      </c>
      <c r="AO112" s="49" t="str">
        <f t="shared" si="18"/>
        <v>2010-11</v>
      </c>
      <c r="AP112" t="str">
        <f t="shared" si="19"/>
        <v>2012-01</v>
      </c>
    </row>
    <row r="113">
      <c r="A113" s="36">
        <v>40116.0</v>
      </c>
      <c r="B113" s="34">
        <v>0.503273639693</v>
      </c>
      <c r="C113" s="36">
        <v>40086.0</v>
      </c>
      <c r="D113" t="str">
        <f t="shared" si="6"/>
        <v>2009-10</v>
      </c>
      <c r="E113" s="44" t="str">
        <f t="shared" si="7"/>
        <v>2009-09</v>
      </c>
      <c r="F113" s="45">
        <v>7515.0</v>
      </c>
      <c r="G113" s="36">
        <v>40573.0</v>
      </c>
      <c r="H113" s="34">
        <v>0.766089677246</v>
      </c>
      <c r="I113" s="36">
        <v>40788.0</v>
      </c>
      <c r="J113" t="str">
        <f t="shared" si="8"/>
        <v>2011-01</v>
      </c>
      <c r="K113" s="44" t="str">
        <f t="shared" si="9"/>
        <v>2011-09</v>
      </c>
      <c r="L113" s="46">
        <v>40924.0</v>
      </c>
      <c r="M113" s="4">
        <v>0.739706324123</v>
      </c>
      <c r="N113" s="36">
        <v>41362.0</v>
      </c>
      <c r="O113" t="str">
        <f t="shared" si="10"/>
        <v>2012-01</v>
      </c>
      <c r="P113" t="str">
        <f t="shared" si="11"/>
        <v>2013-03</v>
      </c>
      <c r="Q113" s="36">
        <v>41715.0</v>
      </c>
      <c r="R113" s="4">
        <v>0.574536400204</v>
      </c>
      <c r="S113" s="36">
        <v>41700.0</v>
      </c>
      <c r="T113" t="str">
        <f t="shared" si="12"/>
        <v>2014-03</v>
      </c>
      <c r="U113" t="str">
        <f t="shared" si="13"/>
        <v>2014-03</v>
      </c>
      <c r="W113" s="36">
        <v>43142.0</v>
      </c>
      <c r="X113" s="4">
        <v>0.671138554187</v>
      </c>
      <c r="Y113" s="4">
        <v>0.382712630883</v>
      </c>
      <c r="Z113" s="4">
        <v>0.50167254045</v>
      </c>
      <c r="AB113" s="36">
        <v>39876.0</v>
      </c>
      <c r="AC113" s="4">
        <v>0.273389503284</v>
      </c>
      <c r="AD113" s="47">
        <v>40195.0</v>
      </c>
      <c r="AE113" t="str">
        <f t="shared" si="14"/>
        <v>2009-03</v>
      </c>
      <c r="AF113" t="str">
        <f t="shared" si="15"/>
        <v>2010-01</v>
      </c>
      <c r="AG113" s="36">
        <v>40971.0</v>
      </c>
      <c r="AH113" s="4">
        <v>0.628030878355</v>
      </c>
      <c r="AI113" s="47">
        <v>41051.0</v>
      </c>
      <c r="AJ113" s="48" t="str">
        <f t="shared" si="16"/>
        <v>2012-03</v>
      </c>
      <c r="AK113" s="49" t="str">
        <f t="shared" si="17"/>
        <v>2012-05</v>
      </c>
      <c r="AL113" s="36">
        <v>40502.0</v>
      </c>
      <c r="AM113" s="4">
        <v>0.680520672462</v>
      </c>
      <c r="AN113" s="47">
        <v>40945.0</v>
      </c>
      <c r="AO113" s="49" t="str">
        <f t="shared" si="18"/>
        <v>2010-11</v>
      </c>
      <c r="AP113" t="str">
        <f t="shared" si="19"/>
        <v>2012-02</v>
      </c>
    </row>
    <row r="114">
      <c r="A114" s="36">
        <v>40117.0</v>
      </c>
      <c r="B114" s="34">
        <v>0.464135636538</v>
      </c>
      <c r="C114" s="36">
        <v>40095.0</v>
      </c>
      <c r="D114" t="str">
        <f t="shared" si="6"/>
        <v>2009-10</v>
      </c>
      <c r="E114" s="44" t="str">
        <f t="shared" si="7"/>
        <v>2009-10</v>
      </c>
      <c r="F114" s="45">
        <v>7490.0</v>
      </c>
      <c r="G114" s="36">
        <v>40577.0</v>
      </c>
      <c r="H114" s="34">
        <v>0.641727276553</v>
      </c>
      <c r="I114" s="36">
        <v>40795.0</v>
      </c>
      <c r="J114" t="str">
        <f t="shared" si="8"/>
        <v>2011-02</v>
      </c>
      <c r="K114" s="44" t="str">
        <f t="shared" si="9"/>
        <v>2011-09</v>
      </c>
      <c r="L114" s="46">
        <v>40925.0</v>
      </c>
      <c r="M114" s="4">
        <v>0.517856565566</v>
      </c>
      <c r="N114" s="36">
        <v>41480.0</v>
      </c>
      <c r="O114" t="str">
        <f t="shared" si="10"/>
        <v>2012-01</v>
      </c>
      <c r="P114" t="str">
        <f t="shared" si="11"/>
        <v>2013-07</v>
      </c>
      <c r="Q114" s="36">
        <v>41716.0</v>
      </c>
      <c r="R114" s="4">
        <v>0.760910412428</v>
      </c>
      <c r="S114" s="36">
        <v>41721.0</v>
      </c>
      <c r="T114" t="str">
        <f t="shared" si="12"/>
        <v>2014-03</v>
      </c>
      <c r="U114" t="str">
        <f t="shared" si="13"/>
        <v>2014-03</v>
      </c>
      <c r="W114" s="36">
        <v>43144.0</v>
      </c>
      <c r="X114" s="4">
        <v>0.722562157741</v>
      </c>
      <c r="Y114" s="4">
        <v>0.389662163909</v>
      </c>
      <c r="Z114" s="4">
        <v>0.518433118781</v>
      </c>
      <c r="AB114" s="36">
        <v>39882.0</v>
      </c>
      <c r="AC114" s="4">
        <v>0.652242124703</v>
      </c>
      <c r="AD114" s="47">
        <v>40293.0</v>
      </c>
      <c r="AE114" t="str">
        <f t="shared" si="14"/>
        <v>2009-03</v>
      </c>
      <c r="AF114" t="str">
        <f t="shared" si="15"/>
        <v>2010-04</v>
      </c>
      <c r="AG114" s="36">
        <v>40972.0</v>
      </c>
      <c r="AH114" s="4">
        <v>0.69182007525</v>
      </c>
      <c r="AI114" s="47">
        <v>41059.0</v>
      </c>
      <c r="AJ114" s="48" t="str">
        <f t="shared" si="16"/>
        <v>2012-03</v>
      </c>
      <c r="AK114" s="49" t="str">
        <f t="shared" si="17"/>
        <v>2012-05</v>
      </c>
      <c r="AL114" s="36">
        <v>40507.0</v>
      </c>
      <c r="AM114" s="4">
        <v>0.705299276798</v>
      </c>
      <c r="AN114" s="47">
        <v>40963.0</v>
      </c>
      <c r="AO114" s="49" t="str">
        <f t="shared" si="18"/>
        <v>2010-11</v>
      </c>
      <c r="AP114" t="str">
        <f t="shared" si="19"/>
        <v>2012-02</v>
      </c>
    </row>
    <row r="115">
      <c r="A115" s="36">
        <v>40123.0</v>
      </c>
      <c r="B115" s="34">
        <v>0.669844144783</v>
      </c>
      <c r="C115" s="36">
        <v>40114.0</v>
      </c>
      <c r="D115" t="str">
        <f t="shared" si="6"/>
        <v>2009-11</v>
      </c>
      <c r="E115" s="44" t="str">
        <f t="shared" si="7"/>
        <v>2009-10</v>
      </c>
      <c r="F115" s="45">
        <v>7452.0</v>
      </c>
      <c r="G115" s="36">
        <v>40578.0</v>
      </c>
      <c r="H115" s="34">
        <v>0.7404943594</v>
      </c>
      <c r="I115" s="36">
        <v>40824.0</v>
      </c>
      <c r="J115" t="str">
        <f t="shared" si="8"/>
        <v>2011-02</v>
      </c>
      <c r="K115" s="44" t="str">
        <f t="shared" si="9"/>
        <v>2011-10</v>
      </c>
      <c r="L115" s="46">
        <v>40926.0</v>
      </c>
      <c r="M115" s="4">
        <v>0.579681735123</v>
      </c>
      <c r="N115" s="36">
        <v>41385.0</v>
      </c>
      <c r="O115" t="str">
        <f t="shared" si="10"/>
        <v>2012-01</v>
      </c>
      <c r="P115" t="str">
        <f t="shared" si="11"/>
        <v>2013-04</v>
      </c>
      <c r="Q115" s="36">
        <v>41717.0</v>
      </c>
      <c r="R115" s="4">
        <v>0.671102317075</v>
      </c>
      <c r="S115" s="36">
        <v>41722.0</v>
      </c>
      <c r="T115" t="str">
        <f t="shared" si="12"/>
        <v>2014-03</v>
      </c>
      <c r="U115" t="str">
        <f t="shared" si="13"/>
        <v>2014-03</v>
      </c>
      <c r="W115" s="36">
        <v>43145.0</v>
      </c>
      <c r="X115" s="4">
        <v>0.695482009668</v>
      </c>
      <c r="Y115" s="4">
        <v>0.380839790204</v>
      </c>
      <c r="Z115" s="4">
        <v>0.494680513289</v>
      </c>
      <c r="AB115" s="36">
        <v>39883.0</v>
      </c>
      <c r="AC115" s="4">
        <v>0.77112057397</v>
      </c>
      <c r="AD115" s="47">
        <v>40327.0</v>
      </c>
      <c r="AE115" t="str">
        <f t="shared" si="14"/>
        <v>2009-03</v>
      </c>
      <c r="AF115" t="str">
        <f t="shared" si="15"/>
        <v>2010-05</v>
      </c>
      <c r="AG115" s="36">
        <v>40973.0</v>
      </c>
      <c r="AH115" s="4">
        <v>0.727919775996</v>
      </c>
      <c r="AI115" s="47">
        <v>41076.0</v>
      </c>
      <c r="AJ115" s="48" t="str">
        <f t="shared" si="16"/>
        <v>2012-03</v>
      </c>
      <c r="AK115" s="49" t="str">
        <f t="shared" si="17"/>
        <v>2012-06</v>
      </c>
      <c r="AL115" s="36">
        <v>40508.0</v>
      </c>
      <c r="AM115" s="4">
        <v>0.668807677876</v>
      </c>
      <c r="AN115" s="47">
        <v>40986.0</v>
      </c>
      <c r="AO115" s="49" t="str">
        <f t="shared" si="18"/>
        <v>2010-11</v>
      </c>
      <c r="AP115" t="str">
        <f t="shared" si="19"/>
        <v>2012-03</v>
      </c>
    </row>
    <row r="116">
      <c r="A116" s="36">
        <v>40124.0</v>
      </c>
      <c r="B116" s="34">
        <v>0.929175685353</v>
      </c>
      <c r="C116" s="36">
        <v>40120.0</v>
      </c>
      <c r="D116" t="str">
        <f t="shared" si="6"/>
        <v>2009-11</v>
      </c>
      <c r="E116" s="44" t="str">
        <f t="shared" si="7"/>
        <v>2009-11</v>
      </c>
      <c r="F116" s="45">
        <v>7412.0</v>
      </c>
      <c r="G116" s="36">
        <v>40580.0</v>
      </c>
      <c r="H116" s="34">
        <v>0.708673049261</v>
      </c>
      <c r="I116" s="36">
        <v>40830.0</v>
      </c>
      <c r="J116" t="str">
        <f t="shared" si="8"/>
        <v>2011-02</v>
      </c>
      <c r="K116" s="44" t="str">
        <f t="shared" si="9"/>
        <v>2011-10</v>
      </c>
      <c r="L116" s="46">
        <v>40930.0</v>
      </c>
      <c r="M116" s="4">
        <v>0.685967701602</v>
      </c>
      <c r="N116" s="36">
        <v>41480.0</v>
      </c>
      <c r="O116" t="str">
        <f t="shared" si="10"/>
        <v>2012-01</v>
      </c>
      <c r="P116" t="str">
        <f t="shared" si="11"/>
        <v>2013-07</v>
      </c>
      <c r="Q116" s="36">
        <v>41722.0</v>
      </c>
      <c r="R116" s="4">
        <v>0.595775572812</v>
      </c>
      <c r="S116" s="36">
        <v>41723.0</v>
      </c>
      <c r="T116" t="str">
        <f t="shared" si="12"/>
        <v>2014-03</v>
      </c>
      <c r="U116" t="str">
        <f t="shared" si="13"/>
        <v>2014-03</v>
      </c>
      <c r="W116" s="36">
        <v>43147.0</v>
      </c>
      <c r="X116" s="4">
        <v>0.734743526874</v>
      </c>
      <c r="Y116" s="4">
        <v>0.380288315799</v>
      </c>
      <c r="Z116" s="4">
        <v>0.507187586677</v>
      </c>
      <c r="AB116" s="36">
        <v>39889.0</v>
      </c>
      <c r="AC116" s="4">
        <v>0.756969218085</v>
      </c>
      <c r="AD116" s="47">
        <v>40335.0</v>
      </c>
      <c r="AE116" t="str">
        <f t="shared" si="14"/>
        <v>2009-03</v>
      </c>
      <c r="AF116" t="str">
        <f t="shared" si="15"/>
        <v>2010-06</v>
      </c>
      <c r="AG116" s="36">
        <v>40974.0</v>
      </c>
      <c r="AH116" s="4">
        <v>0.67766065047</v>
      </c>
      <c r="AI116" s="47">
        <v>41131.0</v>
      </c>
      <c r="AJ116" s="48" t="str">
        <f t="shared" si="16"/>
        <v>2012-03</v>
      </c>
      <c r="AK116" s="49" t="str">
        <f t="shared" si="17"/>
        <v>2012-08</v>
      </c>
      <c r="AL116" s="36">
        <v>40515.0</v>
      </c>
      <c r="AM116" s="4">
        <v>0.73267743655</v>
      </c>
      <c r="AN116" s="47">
        <v>41029.0</v>
      </c>
      <c r="AO116" s="49" t="str">
        <f t="shared" si="18"/>
        <v>2010-12</v>
      </c>
      <c r="AP116" t="str">
        <f t="shared" si="19"/>
        <v>2012-04</v>
      </c>
    </row>
    <row r="117">
      <c r="A117" s="36">
        <v>40125.0</v>
      </c>
      <c r="B117" s="34">
        <v>0.681158340444</v>
      </c>
      <c r="C117" s="36">
        <v>40124.0</v>
      </c>
      <c r="D117" t="str">
        <f t="shared" si="6"/>
        <v>2009-11</v>
      </c>
      <c r="E117" s="44" t="str">
        <f t="shared" si="7"/>
        <v>2009-11</v>
      </c>
      <c r="F117" s="45">
        <v>7385.0</v>
      </c>
      <c r="G117" s="36">
        <v>40584.0</v>
      </c>
      <c r="H117" s="34">
        <v>0.424672459105</v>
      </c>
      <c r="I117" s="36">
        <v>40838.0</v>
      </c>
      <c r="J117" t="str">
        <f t="shared" si="8"/>
        <v>2011-02</v>
      </c>
      <c r="K117" s="44" t="str">
        <f t="shared" si="9"/>
        <v>2011-10</v>
      </c>
      <c r="L117" s="46">
        <v>40931.0</v>
      </c>
      <c r="M117" s="4">
        <v>0.484417504606</v>
      </c>
      <c r="N117" s="36">
        <v>41422.0</v>
      </c>
      <c r="O117" t="str">
        <f t="shared" si="10"/>
        <v>2012-01</v>
      </c>
      <c r="P117" t="str">
        <f t="shared" si="11"/>
        <v>2013-05</v>
      </c>
      <c r="Q117" s="36">
        <v>41723.0</v>
      </c>
      <c r="R117" s="4">
        <v>0.787526558134</v>
      </c>
      <c r="S117" s="36">
        <v>41724.0</v>
      </c>
      <c r="T117" t="str">
        <f t="shared" si="12"/>
        <v>2014-03</v>
      </c>
      <c r="U117" t="str">
        <f t="shared" si="13"/>
        <v>2014-03</v>
      </c>
      <c r="W117" s="36">
        <v>43148.0</v>
      </c>
      <c r="X117" s="4">
        <v>0.692960946806</v>
      </c>
      <c r="Y117" s="4">
        <v>0.380478117269</v>
      </c>
      <c r="Z117" s="4">
        <v>0.498270770895</v>
      </c>
      <c r="AB117" s="36">
        <v>39890.0</v>
      </c>
      <c r="AC117" s="4">
        <v>0.679993755443</v>
      </c>
      <c r="AD117" s="47">
        <v>40378.0</v>
      </c>
      <c r="AE117" t="str">
        <f t="shared" si="14"/>
        <v>2009-03</v>
      </c>
      <c r="AF117" t="str">
        <f t="shared" si="15"/>
        <v>2010-07</v>
      </c>
      <c r="AG117" s="36">
        <v>40977.0</v>
      </c>
      <c r="AH117" s="4">
        <v>0.755478526112</v>
      </c>
      <c r="AI117" s="47">
        <v>41138.0</v>
      </c>
      <c r="AJ117" s="48" t="str">
        <f t="shared" si="16"/>
        <v>2012-03</v>
      </c>
      <c r="AK117" s="49" t="str">
        <f t="shared" si="17"/>
        <v>2012-08</v>
      </c>
      <c r="AL117" s="36">
        <v>40516.0</v>
      </c>
      <c r="AM117" s="4">
        <v>0.652270734397</v>
      </c>
      <c r="AN117" s="47">
        <v>41046.0</v>
      </c>
      <c r="AO117" s="49" t="str">
        <f t="shared" si="18"/>
        <v>2010-12</v>
      </c>
      <c r="AP117" t="str">
        <f t="shared" si="19"/>
        <v>2012-05</v>
      </c>
    </row>
    <row r="118">
      <c r="A118" s="36">
        <v>40129.0</v>
      </c>
      <c r="B118" s="34">
        <v>0.662317975183</v>
      </c>
      <c r="C118" s="36">
        <v>40134.0</v>
      </c>
      <c r="D118" t="str">
        <f t="shared" si="6"/>
        <v>2009-11</v>
      </c>
      <c r="E118" s="44" t="str">
        <f t="shared" si="7"/>
        <v>2009-11</v>
      </c>
      <c r="F118" s="45">
        <v>7352.0</v>
      </c>
      <c r="G118" s="36">
        <v>40585.0</v>
      </c>
      <c r="H118" s="34">
        <v>0.481480075475</v>
      </c>
      <c r="I118" s="36">
        <v>40855.0</v>
      </c>
      <c r="J118" t="str">
        <f t="shared" si="8"/>
        <v>2011-02</v>
      </c>
      <c r="K118" s="44" t="str">
        <f t="shared" si="9"/>
        <v>2011-11</v>
      </c>
      <c r="L118" s="46">
        <v>40932.0</v>
      </c>
      <c r="M118" s="4">
        <v>0.57957899965</v>
      </c>
      <c r="N118" s="36">
        <v>41421.0</v>
      </c>
      <c r="O118" t="str">
        <f t="shared" si="10"/>
        <v>2012-01</v>
      </c>
      <c r="P118" t="str">
        <f t="shared" si="11"/>
        <v>2013-05</v>
      </c>
      <c r="Q118" s="36">
        <v>41724.0</v>
      </c>
      <c r="R118" s="4">
        <v>0.612453203855</v>
      </c>
      <c r="S118" s="36">
        <v>41754.0</v>
      </c>
      <c r="T118" t="str">
        <f t="shared" si="12"/>
        <v>2014-03</v>
      </c>
      <c r="U118" t="str">
        <f t="shared" si="13"/>
        <v>2014-04</v>
      </c>
      <c r="W118" s="36">
        <v>43150.0</v>
      </c>
      <c r="X118" s="4">
        <v>0.721290380581</v>
      </c>
      <c r="Y118" s="4">
        <v>0.386143851128</v>
      </c>
      <c r="Z118" s="4">
        <v>0.502063601229</v>
      </c>
      <c r="AB118" s="36">
        <v>39896.0</v>
      </c>
      <c r="AC118" s="4">
        <v>0.633916834342</v>
      </c>
      <c r="AD118" s="47">
        <v>40433.0</v>
      </c>
      <c r="AE118" t="str">
        <f t="shared" si="14"/>
        <v>2009-03</v>
      </c>
      <c r="AF118" t="str">
        <f t="shared" si="15"/>
        <v>2010-09</v>
      </c>
      <c r="AG118" s="36">
        <v>40978.0</v>
      </c>
      <c r="AH118" s="4">
        <v>0.914050749318</v>
      </c>
      <c r="AI118" s="47">
        <v>41150.0</v>
      </c>
      <c r="AJ118" s="48" t="str">
        <f t="shared" si="16"/>
        <v>2012-03</v>
      </c>
      <c r="AK118" s="49" t="str">
        <f t="shared" si="17"/>
        <v>2012-08</v>
      </c>
      <c r="AL118" s="36">
        <v>40522.0</v>
      </c>
      <c r="AM118" s="4">
        <v>0.783377195752</v>
      </c>
      <c r="AN118" s="47">
        <v>41059.0</v>
      </c>
      <c r="AO118" s="49" t="str">
        <f t="shared" si="18"/>
        <v>2010-12</v>
      </c>
      <c r="AP118" t="str">
        <f t="shared" si="19"/>
        <v>2012-05</v>
      </c>
    </row>
    <row r="119">
      <c r="A119" s="36">
        <v>40130.0</v>
      </c>
      <c r="B119" s="34">
        <v>0.628405241792</v>
      </c>
      <c r="C119" s="36">
        <v>40145.0</v>
      </c>
      <c r="D119" t="str">
        <f t="shared" si="6"/>
        <v>2009-11</v>
      </c>
      <c r="E119" s="44" t="str">
        <f t="shared" si="7"/>
        <v>2009-11</v>
      </c>
      <c r="F119" s="45">
        <v>7171.0</v>
      </c>
      <c r="G119" s="36">
        <v>40586.0</v>
      </c>
      <c r="H119" s="34">
        <v>0.653275543804</v>
      </c>
      <c r="I119" s="36">
        <v>40925.0</v>
      </c>
      <c r="J119" t="str">
        <f t="shared" si="8"/>
        <v>2011-02</v>
      </c>
      <c r="K119" s="44" t="str">
        <f t="shared" si="9"/>
        <v>2012-01</v>
      </c>
      <c r="L119" s="46">
        <v>40933.0</v>
      </c>
      <c r="M119" s="4">
        <v>0.529402927302</v>
      </c>
      <c r="N119" s="36">
        <v>41480.0</v>
      </c>
      <c r="O119" t="str">
        <f t="shared" si="10"/>
        <v>2012-01</v>
      </c>
      <c r="P119" t="str">
        <f t="shared" si="11"/>
        <v>2013-07</v>
      </c>
      <c r="Q119" s="36">
        <v>41725.0</v>
      </c>
      <c r="R119" s="4">
        <v>0.604569086527</v>
      </c>
      <c r="S119" s="36">
        <v>41796.0</v>
      </c>
      <c r="T119" t="str">
        <f t="shared" si="12"/>
        <v>2014-03</v>
      </c>
      <c r="U119" t="str">
        <f t="shared" si="13"/>
        <v>2014-06</v>
      </c>
      <c r="W119" s="36">
        <v>43151.0</v>
      </c>
      <c r="X119" s="4">
        <v>0.688079123799</v>
      </c>
      <c r="Y119" s="4">
        <v>0.386500624603</v>
      </c>
      <c r="Z119" s="4">
        <v>0.492430760004</v>
      </c>
      <c r="AB119" s="36">
        <v>39897.0</v>
      </c>
      <c r="AC119" s="4">
        <v>0.843450788066</v>
      </c>
      <c r="AD119" s="47">
        <v>40475.0</v>
      </c>
      <c r="AE119" t="str">
        <f t="shared" si="14"/>
        <v>2009-03</v>
      </c>
      <c r="AF119" t="str">
        <f t="shared" si="15"/>
        <v>2010-10</v>
      </c>
      <c r="AG119" s="36">
        <v>40979.0</v>
      </c>
      <c r="AH119" s="4">
        <v>0.674080412096</v>
      </c>
      <c r="AI119" s="47">
        <v>41154.0</v>
      </c>
      <c r="AJ119" s="48" t="str">
        <f t="shared" si="16"/>
        <v>2012-03</v>
      </c>
      <c r="AK119" s="49" t="str">
        <f t="shared" si="17"/>
        <v>2012-09</v>
      </c>
      <c r="AL119" s="36">
        <v>40529.0</v>
      </c>
      <c r="AM119" s="4">
        <v>0.68376718874</v>
      </c>
      <c r="AN119" s="47">
        <v>41101.0</v>
      </c>
      <c r="AO119" s="49" t="str">
        <f t="shared" si="18"/>
        <v>2010-12</v>
      </c>
      <c r="AP119" t="str">
        <f t="shared" si="19"/>
        <v>2012-07</v>
      </c>
    </row>
    <row r="120">
      <c r="A120" s="36">
        <v>40131.0</v>
      </c>
      <c r="B120" s="34">
        <v>0.505145882824</v>
      </c>
      <c r="C120" s="36">
        <v>40145.0</v>
      </c>
      <c r="D120" t="str">
        <f t="shared" si="6"/>
        <v>2009-11</v>
      </c>
      <c r="E120" s="44" t="str">
        <f t="shared" si="7"/>
        <v>2009-11</v>
      </c>
      <c r="F120" s="45">
        <v>7019.0</v>
      </c>
      <c r="G120" s="36">
        <v>40587.0</v>
      </c>
      <c r="H120" s="34">
        <v>0.686241749797</v>
      </c>
      <c r="I120" s="36">
        <v>40982.0</v>
      </c>
      <c r="J120" t="str">
        <f t="shared" si="8"/>
        <v>2011-02</v>
      </c>
      <c r="K120" s="44" t="str">
        <f t="shared" si="9"/>
        <v>2012-03</v>
      </c>
      <c r="L120" s="46">
        <v>40934.0</v>
      </c>
      <c r="M120" s="4">
        <v>0.813759053966</v>
      </c>
      <c r="N120" s="36">
        <v>41426.0</v>
      </c>
      <c r="O120" t="str">
        <f t="shared" si="10"/>
        <v>2012-01</v>
      </c>
      <c r="P120" t="str">
        <f t="shared" si="11"/>
        <v>2013-06</v>
      </c>
      <c r="Q120" s="36">
        <v>41730.0</v>
      </c>
      <c r="R120" s="4">
        <v>0.69602018321</v>
      </c>
      <c r="S120" s="36">
        <v>41849.0</v>
      </c>
      <c r="T120" t="str">
        <f t="shared" si="12"/>
        <v>2014-04</v>
      </c>
      <c r="U120" t="str">
        <f t="shared" si="13"/>
        <v>2014-07</v>
      </c>
      <c r="W120" s="36">
        <v>43153.0</v>
      </c>
      <c r="X120" s="4">
        <v>0.706016709774</v>
      </c>
      <c r="Y120" s="4">
        <v>0.401835567721</v>
      </c>
      <c r="Z120" s="4">
        <v>0.51626906384</v>
      </c>
      <c r="AB120" s="36">
        <v>39903.0</v>
      </c>
      <c r="AC120" s="4">
        <v>0.67377953551</v>
      </c>
      <c r="AD120" s="47">
        <v>40496.0</v>
      </c>
      <c r="AE120" t="str">
        <f t="shared" si="14"/>
        <v>2009-03</v>
      </c>
      <c r="AF120" t="str">
        <f t="shared" si="15"/>
        <v>2010-11</v>
      </c>
      <c r="AG120" s="36">
        <v>40980.0</v>
      </c>
      <c r="AH120" s="4">
        <v>0.656347148594</v>
      </c>
      <c r="AI120" s="47">
        <v>41178.0</v>
      </c>
      <c r="AJ120" s="48" t="str">
        <f t="shared" si="16"/>
        <v>2012-03</v>
      </c>
      <c r="AK120" s="49" t="str">
        <f t="shared" si="17"/>
        <v>2012-09</v>
      </c>
      <c r="AL120" s="36">
        <v>40530.0</v>
      </c>
      <c r="AM120" s="4">
        <v>0.820215259699</v>
      </c>
      <c r="AN120" s="47">
        <v>41149.0</v>
      </c>
      <c r="AO120" s="49" t="str">
        <f t="shared" si="18"/>
        <v>2010-12</v>
      </c>
      <c r="AP120" t="str">
        <f t="shared" si="19"/>
        <v>2012-08</v>
      </c>
    </row>
    <row r="121">
      <c r="A121" s="36">
        <v>40132.0</v>
      </c>
      <c r="B121" s="34">
        <v>0.730533206425</v>
      </c>
      <c r="C121" s="36">
        <v>40153.0</v>
      </c>
      <c r="D121" t="str">
        <f t="shared" si="6"/>
        <v>2009-11</v>
      </c>
      <c r="E121" s="44" t="str">
        <f t="shared" si="7"/>
        <v>2009-12</v>
      </c>
      <c r="F121" s="45">
        <v>6979.0</v>
      </c>
      <c r="G121" s="36">
        <v>40593.0</v>
      </c>
      <c r="H121" s="34">
        <v>0.565604295733</v>
      </c>
      <c r="I121" s="36">
        <v>40988.0</v>
      </c>
      <c r="J121" t="str">
        <f t="shared" si="8"/>
        <v>2011-02</v>
      </c>
      <c r="K121" s="44" t="str">
        <f t="shared" si="9"/>
        <v>2012-03</v>
      </c>
      <c r="L121" s="46">
        <v>40937.0</v>
      </c>
      <c r="M121" s="4">
        <v>0.607854586284</v>
      </c>
      <c r="N121" s="36">
        <v>41480.0</v>
      </c>
      <c r="O121" t="str">
        <f t="shared" si="10"/>
        <v>2012-01</v>
      </c>
      <c r="P121" t="str">
        <f t="shared" si="11"/>
        <v>2013-07</v>
      </c>
      <c r="Q121" s="36">
        <v>41732.0</v>
      </c>
      <c r="R121" s="4">
        <v>0.745577306369</v>
      </c>
      <c r="S121" s="36">
        <v>42331.0</v>
      </c>
      <c r="T121" t="str">
        <f t="shared" si="12"/>
        <v>2014-04</v>
      </c>
      <c r="U121" t="str">
        <f t="shared" si="13"/>
        <v>2015-11</v>
      </c>
      <c r="W121" s="36">
        <v>43154.0</v>
      </c>
      <c r="X121" s="4">
        <v>0.706659362934</v>
      </c>
      <c r="Y121" s="4">
        <v>0.390170180759</v>
      </c>
      <c r="Z121" s="4">
        <v>0.500567614616</v>
      </c>
      <c r="AB121" s="36">
        <v>39904.0</v>
      </c>
      <c r="AC121" s="4">
        <v>0.698976931984</v>
      </c>
      <c r="AD121" s="47">
        <v>40563.0</v>
      </c>
      <c r="AE121" t="str">
        <f t="shared" si="14"/>
        <v>2009-04</v>
      </c>
      <c r="AF121" t="str">
        <f t="shared" si="15"/>
        <v>2011-01</v>
      </c>
      <c r="AG121" s="36">
        <v>40981.0</v>
      </c>
      <c r="AH121" s="4">
        <v>0.708723358464</v>
      </c>
      <c r="AI121" s="47">
        <v>41179.0</v>
      </c>
      <c r="AJ121" s="48" t="str">
        <f t="shared" si="16"/>
        <v>2012-03</v>
      </c>
      <c r="AK121" s="49" t="str">
        <f t="shared" si="17"/>
        <v>2012-09</v>
      </c>
      <c r="AL121" s="36">
        <v>40535.0</v>
      </c>
      <c r="AM121" s="4">
        <v>0.764317675877</v>
      </c>
      <c r="AN121" s="47">
        <v>41207.0</v>
      </c>
      <c r="AO121" s="49" t="str">
        <f t="shared" si="18"/>
        <v>2010-12</v>
      </c>
      <c r="AP121" t="str">
        <f t="shared" si="19"/>
        <v>2012-10</v>
      </c>
    </row>
    <row r="122">
      <c r="A122" s="36">
        <v>40136.0</v>
      </c>
      <c r="B122" s="34">
        <v>0.323976301248</v>
      </c>
      <c r="C122" s="36">
        <v>40166.0</v>
      </c>
      <c r="D122" t="str">
        <f t="shared" si="6"/>
        <v>2009-11</v>
      </c>
      <c r="E122" s="44" t="str">
        <f t="shared" si="7"/>
        <v>2009-12</v>
      </c>
      <c r="F122" s="45">
        <v>6931.0</v>
      </c>
      <c r="G122" s="36">
        <v>40594.0</v>
      </c>
      <c r="H122" s="34">
        <v>0.928256692052</v>
      </c>
      <c r="I122" s="36">
        <v>40997.0</v>
      </c>
      <c r="J122" t="str">
        <f t="shared" si="8"/>
        <v>2011-02</v>
      </c>
      <c r="K122" s="44" t="str">
        <f t="shared" si="9"/>
        <v>2012-03</v>
      </c>
      <c r="L122" s="46">
        <v>40938.0</v>
      </c>
      <c r="M122" s="4">
        <v>0.756609449228</v>
      </c>
      <c r="N122" s="36">
        <v>41448.0</v>
      </c>
      <c r="O122" t="str">
        <f t="shared" si="10"/>
        <v>2012-01</v>
      </c>
      <c r="P122" t="str">
        <f t="shared" si="11"/>
        <v>2013-06</v>
      </c>
      <c r="Q122" s="36">
        <v>41737.0</v>
      </c>
      <c r="R122" s="4">
        <v>0.624380672135</v>
      </c>
      <c r="S122" s="36">
        <v>42331.0</v>
      </c>
      <c r="T122" t="str">
        <f t="shared" si="12"/>
        <v>2014-04</v>
      </c>
      <c r="U122" t="str">
        <f t="shared" si="13"/>
        <v>2015-11</v>
      </c>
      <c r="W122" s="36">
        <v>43156.0</v>
      </c>
      <c r="X122" s="4">
        <v>0.709347820305</v>
      </c>
      <c r="Y122" s="4">
        <v>0.387339253754</v>
      </c>
      <c r="Z122" s="4">
        <v>0.520945494345</v>
      </c>
      <c r="AB122" s="36">
        <v>39910.0</v>
      </c>
      <c r="AC122" s="4">
        <v>0.706815436031</v>
      </c>
      <c r="AD122" s="47">
        <v>40622.0</v>
      </c>
      <c r="AE122" t="str">
        <f t="shared" si="14"/>
        <v>2009-04</v>
      </c>
      <c r="AF122" t="str">
        <f t="shared" si="15"/>
        <v>2011-03</v>
      </c>
      <c r="AG122" s="36">
        <v>40984.0</v>
      </c>
      <c r="AH122" s="4">
        <v>0.900714095537</v>
      </c>
      <c r="AI122" s="47">
        <v>41179.0</v>
      </c>
      <c r="AJ122" s="48" t="str">
        <f t="shared" si="16"/>
        <v>2012-03</v>
      </c>
      <c r="AK122" s="49" t="str">
        <f t="shared" si="17"/>
        <v>2012-09</v>
      </c>
      <c r="AL122" s="36">
        <v>40536.0</v>
      </c>
      <c r="AM122" s="4">
        <v>0.670944318936</v>
      </c>
      <c r="AN122" s="47">
        <v>41242.0</v>
      </c>
      <c r="AO122" s="49" t="str">
        <f t="shared" si="18"/>
        <v>2010-12</v>
      </c>
      <c r="AP122" t="str">
        <f t="shared" si="19"/>
        <v>2012-11</v>
      </c>
    </row>
    <row r="123">
      <c r="A123" s="36">
        <v>40137.0</v>
      </c>
      <c r="B123" s="34">
        <v>0.709497432072</v>
      </c>
      <c r="C123" s="36">
        <v>40169.0</v>
      </c>
      <c r="D123" t="str">
        <f t="shared" si="6"/>
        <v>2009-11</v>
      </c>
      <c r="E123" s="44" t="str">
        <f t="shared" si="7"/>
        <v>2009-12</v>
      </c>
      <c r="F123" s="45">
        <v>6902.0</v>
      </c>
      <c r="G123" s="36">
        <v>40598.0</v>
      </c>
      <c r="H123" s="34">
        <v>0.501086037492</v>
      </c>
      <c r="I123" s="36">
        <v>41004.0</v>
      </c>
      <c r="J123" t="str">
        <f t="shared" si="8"/>
        <v>2011-02</v>
      </c>
      <c r="K123" s="44" t="str">
        <f t="shared" si="9"/>
        <v>2012-04</v>
      </c>
      <c r="L123" s="46">
        <v>40939.0</v>
      </c>
      <c r="M123" s="4">
        <v>0.739975200861</v>
      </c>
      <c r="N123" s="36">
        <v>41480.0</v>
      </c>
      <c r="O123" t="str">
        <f t="shared" si="10"/>
        <v>2012-01</v>
      </c>
      <c r="P123" t="str">
        <f t="shared" si="11"/>
        <v>2013-07</v>
      </c>
      <c r="Q123" s="36">
        <v>41743.0</v>
      </c>
      <c r="R123" s="4">
        <v>0.442277616641</v>
      </c>
      <c r="S123" s="36">
        <v>42349.0</v>
      </c>
      <c r="T123" t="str">
        <f t="shared" si="12"/>
        <v>2014-04</v>
      </c>
      <c r="U123" t="str">
        <f t="shared" si="13"/>
        <v>2015-12</v>
      </c>
      <c r="W123" s="36">
        <v>43157.0</v>
      </c>
      <c r="X123" s="4">
        <v>0.751526158656</v>
      </c>
      <c r="Y123" s="4">
        <v>0.388956155594</v>
      </c>
      <c r="Z123" s="4">
        <v>0.511091663738</v>
      </c>
      <c r="AB123" s="36">
        <v>39911.0</v>
      </c>
      <c r="AC123" s="4">
        <v>0.69234263398</v>
      </c>
      <c r="AD123" s="47">
        <v>40684.0</v>
      </c>
      <c r="AE123" t="str">
        <f t="shared" si="14"/>
        <v>2009-04</v>
      </c>
      <c r="AF123" t="str">
        <f t="shared" si="15"/>
        <v>2011-05</v>
      </c>
      <c r="AG123" s="36">
        <v>40985.0</v>
      </c>
      <c r="AH123" s="4">
        <v>0.823836015075</v>
      </c>
      <c r="AI123" s="47">
        <v>41213.0</v>
      </c>
      <c r="AJ123" s="48" t="str">
        <f t="shared" si="16"/>
        <v>2012-03</v>
      </c>
      <c r="AK123" s="49" t="str">
        <f t="shared" si="17"/>
        <v>2012-10</v>
      </c>
      <c r="AL123" s="36">
        <v>40537.0</v>
      </c>
      <c r="AM123" s="4">
        <v>0.833480025361</v>
      </c>
      <c r="AN123" s="47">
        <v>41263.0</v>
      </c>
      <c r="AO123" s="49" t="str">
        <f t="shared" si="18"/>
        <v>2010-12</v>
      </c>
      <c r="AP123" t="str">
        <f t="shared" si="19"/>
        <v>2012-12</v>
      </c>
    </row>
    <row r="124">
      <c r="A124" s="36">
        <v>40138.0</v>
      </c>
      <c r="B124" s="34">
        <v>0.723588274543</v>
      </c>
      <c r="C124" s="36">
        <v>40178.0</v>
      </c>
      <c r="D124" t="str">
        <f t="shared" si="6"/>
        <v>2009-11</v>
      </c>
      <c r="E124" s="44" t="str">
        <f t="shared" si="7"/>
        <v>2009-12</v>
      </c>
      <c r="F124" s="45">
        <v>6875.0</v>
      </c>
      <c r="G124" s="36">
        <v>40599.0</v>
      </c>
      <c r="H124" s="34">
        <v>0.51578284103</v>
      </c>
      <c r="I124" s="36">
        <v>41011.0</v>
      </c>
      <c r="J124" t="str">
        <f t="shared" si="8"/>
        <v>2011-02</v>
      </c>
      <c r="K124" s="44" t="str">
        <f t="shared" si="9"/>
        <v>2012-04</v>
      </c>
      <c r="L124" s="46">
        <v>40940.0</v>
      </c>
      <c r="M124" s="4">
        <v>0.712676830401</v>
      </c>
      <c r="N124" s="36">
        <v>41500.0</v>
      </c>
      <c r="O124" t="str">
        <f t="shared" si="10"/>
        <v>2012-02</v>
      </c>
      <c r="P124" t="str">
        <f t="shared" si="11"/>
        <v>2013-08</v>
      </c>
      <c r="Q124" s="36">
        <v>41745.0</v>
      </c>
      <c r="R124" s="4">
        <v>0.870693385561</v>
      </c>
      <c r="S124" s="36">
        <v>42348.0</v>
      </c>
      <c r="T124" t="str">
        <f t="shared" si="12"/>
        <v>2014-04</v>
      </c>
      <c r="U124" t="str">
        <f t="shared" si="13"/>
        <v>2015-12</v>
      </c>
      <c r="W124" s="36">
        <v>43159.0</v>
      </c>
      <c r="X124" s="4">
        <v>0.745734634588</v>
      </c>
      <c r="Y124" s="4">
        <v>0.376861896967</v>
      </c>
      <c r="Z124" s="4">
        <v>0.513543444464</v>
      </c>
      <c r="AB124" s="36">
        <v>39917.0</v>
      </c>
      <c r="AC124" s="4">
        <v>0.647674151799</v>
      </c>
      <c r="AD124" s="47">
        <v>40693.0</v>
      </c>
      <c r="AE124" t="str">
        <f t="shared" si="14"/>
        <v>2009-04</v>
      </c>
      <c r="AF124" t="str">
        <f t="shared" si="15"/>
        <v>2011-05</v>
      </c>
      <c r="AG124" s="36">
        <v>40986.0</v>
      </c>
      <c r="AH124" s="4">
        <v>0.672218087064</v>
      </c>
      <c r="AI124" s="47">
        <v>41219.0</v>
      </c>
      <c r="AJ124" s="48" t="str">
        <f t="shared" si="16"/>
        <v>2012-03</v>
      </c>
      <c r="AK124" s="49" t="str">
        <f t="shared" si="17"/>
        <v>2012-11</v>
      </c>
      <c r="AL124" s="36">
        <v>40542.0</v>
      </c>
      <c r="AM124" s="4">
        <v>0.475811111614</v>
      </c>
      <c r="AN124" s="47">
        <v>41264.0</v>
      </c>
      <c r="AO124" s="49" t="str">
        <f t="shared" si="18"/>
        <v>2010-12</v>
      </c>
      <c r="AP124" t="str">
        <f t="shared" si="19"/>
        <v>2012-12</v>
      </c>
    </row>
    <row r="125">
      <c r="A125" s="36">
        <v>40139.0</v>
      </c>
      <c r="B125" s="34">
        <v>0.553330881865</v>
      </c>
      <c r="C125" s="36">
        <v>40187.0</v>
      </c>
      <c r="D125" t="str">
        <f t="shared" si="6"/>
        <v>2009-11</v>
      </c>
      <c r="E125" s="44" t="str">
        <f t="shared" si="7"/>
        <v>2010-01</v>
      </c>
      <c r="F125" s="45">
        <v>6857.0</v>
      </c>
      <c r="G125" s="36">
        <v>40601.0</v>
      </c>
      <c r="H125" s="34">
        <v>0.462628306745</v>
      </c>
      <c r="I125" s="36">
        <v>41019.0</v>
      </c>
      <c r="J125" t="str">
        <f t="shared" si="8"/>
        <v>2011-02</v>
      </c>
      <c r="K125" s="44" t="str">
        <f t="shared" si="9"/>
        <v>2012-04</v>
      </c>
      <c r="L125" s="46">
        <v>40944.0</v>
      </c>
      <c r="M125" s="4">
        <v>0.71271774318</v>
      </c>
      <c r="N125" s="36">
        <v>41515.0</v>
      </c>
      <c r="O125" t="str">
        <f t="shared" si="10"/>
        <v>2012-02</v>
      </c>
      <c r="P125" t="str">
        <f t="shared" si="11"/>
        <v>2013-08</v>
      </c>
      <c r="Q125" s="36">
        <v>41751.0</v>
      </c>
      <c r="R125" s="4">
        <v>0.799306575535</v>
      </c>
      <c r="S125" s="36">
        <v>42355.0</v>
      </c>
      <c r="T125" t="str">
        <f t="shared" si="12"/>
        <v>2014-04</v>
      </c>
      <c r="U125" t="str">
        <f t="shared" si="13"/>
        <v>2015-12</v>
      </c>
      <c r="W125" s="36">
        <v>43160.0</v>
      </c>
      <c r="X125" s="4">
        <v>0.718185315793</v>
      </c>
      <c r="Y125" s="4">
        <v>0.383299020425</v>
      </c>
      <c r="Z125" s="4">
        <v>0.49319703562</v>
      </c>
      <c r="AB125" s="36">
        <v>39918.0</v>
      </c>
      <c r="AC125" s="4">
        <v>0.478088540611</v>
      </c>
      <c r="AD125" s="47">
        <v>40750.0</v>
      </c>
      <c r="AE125" t="str">
        <f t="shared" si="14"/>
        <v>2009-04</v>
      </c>
      <c r="AF125" t="str">
        <f t="shared" si="15"/>
        <v>2011-07</v>
      </c>
      <c r="AG125" s="36">
        <v>40987.0</v>
      </c>
      <c r="AH125" s="4">
        <v>0.619352923386</v>
      </c>
      <c r="AI125" s="47">
        <v>41284.0</v>
      </c>
      <c r="AJ125" s="48" t="str">
        <f t="shared" si="16"/>
        <v>2012-03</v>
      </c>
      <c r="AK125" s="49" t="str">
        <f t="shared" si="17"/>
        <v>2013-01</v>
      </c>
      <c r="AL125" s="36">
        <v>40543.0</v>
      </c>
      <c r="AM125" s="4">
        <v>0.763898814802</v>
      </c>
      <c r="AN125" s="47">
        <v>41291.0</v>
      </c>
      <c r="AO125" s="49" t="str">
        <f t="shared" si="18"/>
        <v>2010-12</v>
      </c>
      <c r="AP125" t="str">
        <f t="shared" si="19"/>
        <v>2013-01</v>
      </c>
    </row>
    <row r="126">
      <c r="A126" s="36">
        <v>40143.0</v>
      </c>
      <c r="B126" s="34">
        <v>0.894555260514</v>
      </c>
      <c r="C126" s="36">
        <v>40198.0</v>
      </c>
      <c r="D126" t="str">
        <f t="shared" si="6"/>
        <v>2009-11</v>
      </c>
      <c r="E126" s="44" t="str">
        <f t="shared" si="7"/>
        <v>2010-01</v>
      </c>
      <c r="F126" s="45">
        <v>6844.0</v>
      </c>
      <c r="G126" s="36">
        <v>40605.0</v>
      </c>
      <c r="H126" s="34">
        <v>0.619235461569</v>
      </c>
      <c r="I126" s="36">
        <v>41029.0</v>
      </c>
      <c r="J126" t="str">
        <f t="shared" si="8"/>
        <v>2011-03</v>
      </c>
      <c r="K126" s="44" t="str">
        <f t="shared" si="9"/>
        <v>2012-04</v>
      </c>
      <c r="L126" s="46">
        <v>40945.0</v>
      </c>
      <c r="M126" s="4">
        <v>0.699519626189</v>
      </c>
      <c r="N126" s="36">
        <v>41518.0</v>
      </c>
      <c r="O126" t="str">
        <f t="shared" si="10"/>
        <v>2012-02</v>
      </c>
      <c r="P126" t="str">
        <f t="shared" si="11"/>
        <v>2013-09</v>
      </c>
      <c r="Q126" s="36">
        <v>41752.0</v>
      </c>
      <c r="R126" s="4">
        <v>0.601956773141</v>
      </c>
      <c r="S126" s="36">
        <v>42355.0</v>
      </c>
      <c r="T126" t="str">
        <f t="shared" si="12"/>
        <v>2014-04</v>
      </c>
      <c r="U126" t="str">
        <f t="shared" si="13"/>
        <v>2015-12</v>
      </c>
      <c r="W126" s="36">
        <v>43162.0</v>
      </c>
      <c r="X126" s="4">
        <v>0.700465367928</v>
      </c>
      <c r="Y126" s="4">
        <v>0.37822315412</v>
      </c>
      <c r="Z126" s="4">
        <v>0.500654463205</v>
      </c>
      <c r="AB126" s="36">
        <v>39924.0</v>
      </c>
      <c r="AC126" s="4">
        <v>0.619513558902</v>
      </c>
      <c r="AD126" s="47">
        <v>40804.0</v>
      </c>
      <c r="AE126" t="str">
        <f t="shared" si="14"/>
        <v>2009-04</v>
      </c>
      <c r="AF126" t="str">
        <f t="shared" si="15"/>
        <v>2011-09</v>
      </c>
      <c r="AG126" s="36">
        <v>40991.0</v>
      </c>
      <c r="AH126" s="4">
        <v>0.855021766905</v>
      </c>
      <c r="AI126" s="47">
        <v>41355.0</v>
      </c>
      <c r="AJ126" s="48" t="str">
        <f t="shared" si="16"/>
        <v>2012-03</v>
      </c>
      <c r="AK126" s="49" t="str">
        <f t="shared" si="17"/>
        <v>2013-03</v>
      </c>
      <c r="AL126" s="36">
        <v>40550.0</v>
      </c>
      <c r="AM126" s="4">
        <v>0.748469469817</v>
      </c>
      <c r="AN126" s="47">
        <v>41353.0</v>
      </c>
      <c r="AO126" s="49" t="str">
        <f t="shared" si="18"/>
        <v>2011-01</v>
      </c>
      <c r="AP126" t="str">
        <f t="shared" si="19"/>
        <v>2013-03</v>
      </c>
    </row>
    <row r="127">
      <c r="A127" s="36">
        <v>40144.0</v>
      </c>
      <c r="B127" s="34">
        <v>0.752612853719</v>
      </c>
      <c r="C127" s="36">
        <v>40212.0</v>
      </c>
      <c r="D127" t="str">
        <f t="shared" si="6"/>
        <v>2009-11</v>
      </c>
      <c r="E127" s="44" t="str">
        <f t="shared" si="7"/>
        <v>2010-02</v>
      </c>
      <c r="F127" s="45">
        <v>6817.0</v>
      </c>
      <c r="G127" s="36">
        <v>40614.0</v>
      </c>
      <c r="H127" s="34">
        <v>0.0512829379667</v>
      </c>
      <c r="I127" s="36">
        <v>41036.0</v>
      </c>
      <c r="J127" t="str">
        <f t="shared" si="8"/>
        <v>2011-03</v>
      </c>
      <c r="K127" s="44" t="str">
        <f t="shared" si="9"/>
        <v>2012-05</v>
      </c>
      <c r="L127" s="46">
        <v>40946.0</v>
      </c>
      <c r="M127" s="4">
        <v>0.682537511226</v>
      </c>
      <c r="N127" s="36">
        <v>41652.0</v>
      </c>
      <c r="O127" t="str">
        <f t="shared" si="10"/>
        <v>2012-02</v>
      </c>
      <c r="P127" t="str">
        <f t="shared" si="11"/>
        <v>2014-01</v>
      </c>
      <c r="Q127" s="36">
        <v>41760.0</v>
      </c>
      <c r="R127" s="4">
        <v>0.613111349464</v>
      </c>
      <c r="S127" s="36">
        <v>42363.0</v>
      </c>
      <c r="T127" t="str">
        <f t="shared" si="12"/>
        <v>2014-05</v>
      </c>
      <c r="U127" t="str">
        <f t="shared" si="13"/>
        <v>2015-12</v>
      </c>
      <c r="W127" s="36">
        <v>43163.0</v>
      </c>
      <c r="X127" s="4">
        <v>0.673267252192</v>
      </c>
      <c r="Y127" s="4">
        <v>0.384241322261</v>
      </c>
      <c r="Z127" s="4">
        <v>0.505747388308</v>
      </c>
      <c r="AB127" s="36">
        <v>39925.0</v>
      </c>
      <c r="AC127" s="4">
        <v>0.67029316807</v>
      </c>
      <c r="AD127" s="47">
        <v>40831.0</v>
      </c>
      <c r="AE127" t="str">
        <f t="shared" si="14"/>
        <v>2009-04</v>
      </c>
      <c r="AF127" t="str">
        <f t="shared" si="15"/>
        <v>2011-10</v>
      </c>
      <c r="AG127" s="36">
        <v>40992.0</v>
      </c>
      <c r="AH127" s="4">
        <v>0.725950017068</v>
      </c>
      <c r="AI127" s="47">
        <v>41313.0</v>
      </c>
      <c r="AJ127" s="48" t="str">
        <f t="shared" si="16"/>
        <v>2012-03</v>
      </c>
      <c r="AK127" s="49" t="str">
        <f t="shared" si="17"/>
        <v>2013-02</v>
      </c>
      <c r="AL127" s="36">
        <v>40551.0</v>
      </c>
      <c r="AM127" s="4">
        <v>0.73094624832</v>
      </c>
      <c r="AN127" s="47">
        <v>41493.0</v>
      </c>
      <c r="AO127" s="49" t="str">
        <f t="shared" si="18"/>
        <v>2011-01</v>
      </c>
      <c r="AP127" t="str">
        <f t="shared" si="19"/>
        <v>2013-08</v>
      </c>
    </row>
    <row r="128">
      <c r="A128" s="36">
        <v>40145.0</v>
      </c>
      <c r="B128" s="34">
        <v>0.610783463375</v>
      </c>
      <c r="C128" s="36">
        <v>40218.0</v>
      </c>
      <c r="D128" t="str">
        <f t="shared" si="6"/>
        <v>2009-11</v>
      </c>
      <c r="E128" s="44" t="str">
        <f t="shared" si="7"/>
        <v>2010-02</v>
      </c>
      <c r="F128" s="45">
        <v>6806.0</v>
      </c>
      <c r="G128" s="36">
        <v>40615.0</v>
      </c>
      <c r="H128" s="34">
        <v>0.886703882921</v>
      </c>
      <c r="I128" s="36">
        <v>41044.0</v>
      </c>
      <c r="J128" t="str">
        <f t="shared" si="8"/>
        <v>2011-03</v>
      </c>
      <c r="K128" s="44" t="str">
        <f t="shared" si="9"/>
        <v>2012-05</v>
      </c>
      <c r="L128" s="46">
        <v>40947.0</v>
      </c>
      <c r="M128" s="4">
        <v>0.60466494671</v>
      </c>
      <c r="N128" s="36">
        <v>41518.0</v>
      </c>
      <c r="O128" t="str">
        <f t="shared" si="10"/>
        <v>2012-02</v>
      </c>
      <c r="P128" t="str">
        <f t="shared" si="11"/>
        <v>2013-09</v>
      </c>
      <c r="Q128" s="36">
        <v>41764.0</v>
      </c>
      <c r="R128" s="4">
        <v>0.72132050937</v>
      </c>
      <c r="S128" s="36">
        <v>42362.0</v>
      </c>
      <c r="T128" t="str">
        <f t="shared" si="12"/>
        <v>2014-05</v>
      </c>
      <c r="U128" t="str">
        <f t="shared" si="13"/>
        <v>2015-12</v>
      </c>
      <c r="W128" s="36">
        <v>43165.0</v>
      </c>
      <c r="X128" s="4">
        <v>0.635074488932</v>
      </c>
      <c r="Y128" s="4">
        <v>0.374587908311</v>
      </c>
      <c r="Z128" s="4">
        <v>0.505729960343</v>
      </c>
      <c r="AB128" s="36">
        <v>39931.0</v>
      </c>
      <c r="AC128" s="4">
        <v>0.671284776356</v>
      </c>
      <c r="AD128" s="47">
        <v>40906.0</v>
      </c>
      <c r="AE128" t="str">
        <f t="shared" si="14"/>
        <v>2009-04</v>
      </c>
      <c r="AF128" t="str">
        <f t="shared" si="15"/>
        <v>2011-12</v>
      </c>
      <c r="AG128" s="36">
        <v>40993.0</v>
      </c>
      <c r="AH128" s="4">
        <v>0.692094851377</v>
      </c>
      <c r="AI128" s="47">
        <v>41362.0</v>
      </c>
      <c r="AJ128" s="48" t="str">
        <f t="shared" si="16"/>
        <v>2012-03</v>
      </c>
      <c r="AK128" s="49" t="str">
        <f t="shared" si="17"/>
        <v>2013-03</v>
      </c>
      <c r="AL128" s="36">
        <v>40557.0</v>
      </c>
      <c r="AM128" s="4">
        <v>0.729270841656</v>
      </c>
      <c r="AN128" s="47">
        <v>41557.0</v>
      </c>
      <c r="AO128" s="49" t="str">
        <f t="shared" si="18"/>
        <v>2011-01</v>
      </c>
      <c r="AP128" t="str">
        <f t="shared" si="19"/>
        <v>2013-10</v>
      </c>
    </row>
    <row r="129">
      <c r="A129" s="36">
        <v>40146.0</v>
      </c>
      <c r="B129" s="34">
        <v>0.601395406063</v>
      </c>
      <c r="C129" s="36">
        <v>40226.0</v>
      </c>
      <c r="D129" t="str">
        <f t="shared" si="6"/>
        <v>2009-11</v>
      </c>
      <c r="E129" s="44" t="str">
        <f t="shared" si="7"/>
        <v>2010-02</v>
      </c>
      <c r="F129" s="45">
        <v>6795.0</v>
      </c>
      <c r="G129" s="36">
        <v>40619.0</v>
      </c>
      <c r="H129" s="34">
        <v>0.813819401429</v>
      </c>
      <c r="I129" s="36">
        <v>41053.0</v>
      </c>
      <c r="J129" t="str">
        <f t="shared" si="8"/>
        <v>2011-03</v>
      </c>
      <c r="K129" s="44" t="str">
        <f t="shared" si="9"/>
        <v>2012-05</v>
      </c>
      <c r="L129" s="46">
        <v>40948.0</v>
      </c>
      <c r="M129" s="4">
        <v>0.675221314194</v>
      </c>
      <c r="N129" s="36">
        <v>41545.0</v>
      </c>
      <c r="O129" t="str">
        <f t="shared" si="10"/>
        <v>2012-02</v>
      </c>
      <c r="P129" t="str">
        <f t="shared" si="11"/>
        <v>2013-09</v>
      </c>
      <c r="Q129" s="36">
        <v>41766.0</v>
      </c>
      <c r="R129" s="4">
        <v>0.814455490695</v>
      </c>
      <c r="S129" s="36">
        <v>42380.0</v>
      </c>
      <c r="T129" t="str">
        <f t="shared" si="12"/>
        <v>2014-05</v>
      </c>
      <c r="U129" t="str">
        <f t="shared" si="13"/>
        <v>2016-01</v>
      </c>
      <c r="W129" s="36">
        <v>43166.0</v>
      </c>
      <c r="X129" s="4">
        <v>0.711608853018</v>
      </c>
      <c r="Y129" s="4">
        <v>0.379682764102</v>
      </c>
      <c r="Z129" s="4">
        <v>0.509078373298</v>
      </c>
      <c r="AB129" s="36">
        <v>39932.0</v>
      </c>
      <c r="AC129" s="4">
        <v>0.810474556894</v>
      </c>
      <c r="AD129" s="47">
        <v>40994.0</v>
      </c>
      <c r="AE129" t="str">
        <f t="shared" si="14"/>
        <v>2009-04</v>
      </c>
      <c r="AF129" t="str">
        <f t="shared" si="15"/>
        <v>2012-03</v>
      </c>
      <c r="AG129" s="36">
        <v>40994.0</v>
      </c>
      <c r="AH129" s="4">
        <v>0.730858317977</v>
      </c>
      <c r="AI129" s="47">
        <v>41422.0</v>
      </c>
      <c r="AJ129" s="48" t="str">
        <f t="shared" si="16"/>
        <v>2012-03</v>
      </c>
      <c r="AK129" s="49" t="str">
        <f t="shared" si="17"/>
        <v>2013-05</v>
      </c>
      <c r="AL129" s="36">
        <v>40558.0</v>
      </c>
      <c r="AM129" s="4">
        <v>0.77547907241</v>
      </c>
      <c r="AN129" s="47">
        <v>41158.0</v>
      </c>
      <c r="AO129" s="49" t="str">
        <f t="shared" si="18"/>
        <v>2011-01</v>
      </c>
      <c r="AP129" t="str">
        <f t="shared" si="19"/>
        <v>2012-09</v>
      </c>
    </row>
    <row r="130">
      <c r="A130" s="36">
        <v>40151.0</v>
      </c>
      <c r="B130" s="34">
        <v>0.78442670287</v>
      </c>
      <c r="C130" s="36">
        <v>40231.0</v>
      </c>
      <c r="D130" t="str">
        <f t="shared" si="6"/>
        <v>2009-12</v>
      </c>
      <c r="E130" s="44" t="str">
        <f t="shared" si="7"/>
        <v>2010-02</v>
      </c>
      <c r="F130" s="45">
        <v>6749.0</v>
      </c>
      <c r="G130" s="36">
        <v>40634.0</v>
      </c>
      <c r="H130" s="34">
        <v>0.539900678817</v>
      </c>
      <c r="I130" s="36">
        <v>41071.0</v>
      </c>
      <c r="J130" t="str">
        <f t="shared" si="8"/>
        <v>2011-04</v>
      </c>
      <c r="K130" s="44" t="str">
        <f t="shared" si="9"/>
        <v>2012-06</v>
      </c>
      <c r="L130" s="46">
        <v>40951.0</v>
      </c>
      <c r="M130" s="4">
        <v>0.636086104082</v>
      </c>
      <c r="N130" s="36">
        <v>41551.0</v>
      </c>
      <c r="O130" t="str">
        <f t="shared" si="10"/>
        <v>2012-02</v>
      </c>
      <c r="P130" t="str">
        <f t="shared" si="11"/>
        <v>2013-10</v>
      </c>
      <c r="Q130" s="36">
        <v>41767.0</v>
      </c>
      <c r="R130" s="4">
        <v>0.689134445204</v>
      </c>
      <c r="S130" s="36">
        <v>42380.0</v>
      </c>
      <c r="T130" t="str">
        <f t="shared" si="12"/>
        <v>2014-05</v>
      </c>
      <c r="U130" t="str">
        <f t="shared" si="13"/>
        <v>2016-01</v>
      </c>
      <c r="W130" s="36">
        <v>43168.0</v>
      </c>
      <c r="X130" s="4">
        <v>0.732466829412</v>
      </c>
      <c r="Y130" s="4">
        <v>0.373080543403</v>
      </c>
      <c r="Z130" s="4">
        <v>0.491429727491</v>
      </c>
      <c r="AB130" s="36">
        <v>39938.0</v>
      </c>
      <c r="AC130" s="4">
        <v>0.661798069344</v>
      </c>
      <c r="AD130" s="47">
        <v>41393.0</v>
      </c>
      <c r="AE130" t="str">
        <f t="shared" si="14"/>
        <v>2009-05</v>
      </c>
      <c r="AF130" t="str">
        <f t="shared" si="15"/>
        <v>2013-04</v>
      </c>
      <c r="AG130" s="36">
        <v>40995.0</v>
      </c>
      <c r="AH130" s="4">
        <v>0.809720563729</v>
      </c>
      <c r="AI130" s="47">
        <v>41433.0</v>
      </c>
      <c r="AJ130" s="48" t="str">
        <f t="shared" si="16"/>
        <v>2012-03</v>
      </c>
      <c r="AK130" s="49" t="str">
        <f t="shared" si="17"/>
        <v>2013-06</v>
      </c>
      <c r="AL130" s="36">
        <v>40564.0</v>
      </c>
      <c r="AM130" s="4">
        <v>0.72090485932</v>
      </c>
      <c r="AN130" s="47">
        <v>41163.0</v>
      </c>
      <c r="AO130" s="49" t="str">
        <f t="shared" si="18"/>
        <v>2011-01</v>
      </c>
      <c r="AP130" t="str">
        <f t="shared" si="19"/>
        <v>2012-09</v>
      </c>
    </row>
    <row r="131">
      <c r="A131" s="36">
        <v>40152.0</v>
      </c>
      <c r="B131" s="34">
        <v>0.540212859075</v>
      </c>
      <c r="C131" s="36">
        <v>40243.0</v>
      </c>
      <c r="D131" t="str">
        <f t="shared" si="6"/>
        <v>2009-12</v>
      </c>
      <c r="E131" s="44" t="str">
        <f t="shared" si="7"/>
        <v>2010-03</v>
      </c>
      <c r="F131" s="45">
        <v>6739.0</v>
      </c>
      <c r="G131" s="36">
        <v>40640.0</v>
      </c>
      <c r="H131" s="34">
        <v>0.885540445178</v>
      </c>
      <c r="I131" s="36">
        <v>41072.0</v>
      </c>
      <c r="J131" t="str">
        <f t="shared" si="8"/>
        <v>2011-04</v>
      </c>
      <c r="K131" s="44" t="str">
        <f t="shared" si="9"/>
        <v>2012-06</v>
      </c>
      <c r="L131" s="46">
        <v>40952.0</v>
      </c>
      <c r="M131" s="4">
        <v>0.590145941785</v>
      </c>
      <c r="N131" s="36">
        <v>41558.0</v>
      </c>
      <c r="O131" t="str">
        <f t="shared" si="10"/>
        <v>2012-02</v>
      </c>
      <c r="P131" t="str">
        <f t="shared" si="11"/>
        <v>2013-10</v>
      </c>
      <c r="Q131" s="36">
        <v>41773.0</v>
      </c>
      <c r="R131" s="4">
        <v>0.524193383291</v>
      </c>
      <c r="S131" s="36">
        <v>42387.0</v>
      </c>
      <c r="T131" t="str">
        <f t="shared" si="12"/>
        <v>2014-05</v>
      </c>
      <c r="U131" t="str">
        <f t="shared" si="13"/>
        <v>2016-01</v>
      </c>
      <c r="W131" s="36">
        <v>43169.0</v>
      </c>
      <c r="X131" s="4">
        <v>0.647330380171</v>
      </c>
      <c r="Y131" s="4">
        <v>0.379839989582</v>
      </c>
      <c r="Z131" s="4">
        <v>0.484223528914</v>
      </c>
      <c r="AB131" s="36">
        <v>39939.0</v>
      </c>
      <c r="AC131" s="4">
        <v>0.666514280378</v>
      </c>
      <c r="AD131" s="47">
        <v>41450.0</v>
      </c>
      <c r="AE131" t="str">
        <f t="shared" si="14"/>
        <v>2009-05</v>
      </c>
      <c r="AF131" t="str">
        <f t="shared" si="15"/>
        <v>2013-06</v>
      </c>
      <c r="AG131" s="36">
        <v>40998.0</v>
      </c>
      <c r="AH131" s="4">
        <v>0.612332077016</v>
      </c>
      <c r="AI131" s="47">
        <v>41435.0</v>
      </c>
      <c r="AJ131" s="48" t="str">
        <f t="shared" si="16"/>
        <v>2012-03</v>
      </c>
      <c r="AK131" s="49" t="str">
        <f t="shared" si="17"/>
        <v>2013-06</v>
      </c>
      <c r="AL131" s="36">
        <v>40565.0</v>
      </c>
      <c r="AM131" s="4">
        <v>0.71287653135</v>
      </c>
      <c r="AN131" s="47">
        <v>41172.0</v>
      </c>
      <c r="AO131" s="49" t="str">
        <f t="shared" si="18"/>
        <v>2011-01</v>
      </c>
      <c r="AP131" t="str">
        <f t="shared" si="19"/>
        <v>2012-09</v>
      </c>
    </row>
    <row r="132">
      <c r="A132" s="36">
        <v>40153.0</v>
      </c>
      <c r="B132" s="34">
        <v>0.724983452746</v>
      </c>
      <c r="C132" s="36">
        <v>40250.0</v>
      </c>
      <c r="D132" t="str">
        <f t="shared" si="6"/>
        <v>2009-12</v>
      </c>
      <c r="E132" s="44" t="str">
        <f t="shared" si="7"/>
        <v>2010-03</v>
      </c>
      <c r="F132" s="45">
        <v>6734.0</v>
      </c>
      <c r="G132" s="36">
        <v>40648.0</v>
      </c>
      <c r="H132" s="34">
        <v>0.643910449736</v>
      </c>
      <c r="I132" s="36">
        <v>41074.0</v>
      </c>
      <c r="J132" t="str">
        <f t="shared" si="8"/>
        <v>2011-04</v>
      </c>
      <c r="K132" s="44" t="str">
        <f t="shared" si="9"/>
        <v>2012-06</v>
      </c>
      <c r="L132" s="46">
        <v>40953.0</v>
      </c>
      <c r="M132" s="4">
        <v>0.748018862992</v>
      </c>
      <c r="N132" s="36">
        <v>41568.0</v>
      </c>
      <c r="O132" t="str">
        <f t="shared" si="10"/>
        <v>2012-02</v>
      </c>
      <c r="P132" t="str">
        <f t="shared" si="11"/>
        <v>2013-10</v>
      </c>
      <c r="Q132" s="36">
        <v>41778.0</v>
      </c>
      <c r="R132" s="4">
        <v>0.467365501928</v>
      </c>
      <c r="S132" s="36">
        <v>42387.0</v>
      </c>
      <c r="T132" t="str">
        <f t="shared" si="12"/>
        <v>2014-05</v>
      </c>
      <c r="U132" t="str">
        <f t="shared" si="13"/>
        <v>2016-01</v>
      </c>
      <c r="W132" s="36">
        <v>43171.0</v>
      </c>
      <c r="X132" s="4">
        <v>0.70416309201</v>
      </c>
      <c r="Y132" s="4">
        <v>0.384653204659</v>
      </c>
      <c r="Z132" s="4">
        <v>0.484621814446</v>
      </c>
      <c r="AB132" s="36">
        <v>39945.0</v>
      </c>
      <c r="AC132" s="4">
        <v>0.634333560684</v>
      </c>
      <c r="AD132" s="47">
        <v>41758.0</v>
      </c>
      <c r="AE132" t="str">
        <f t="shared" si="14"/>
        <v>2009-05</v>
      </c>
      <c r="AF132" t="str">
        <f t="shared" si="15"/>
        <v>2014-04</v>
      </c>
      <c r="AG132" s="36">
        <v>40999.0</v>
      </c>
      <c r="AH132" s="4">
        <v>0.730714624162</v>
      </c>
      <c r="AI132" s="47">
        <v>41485.0</v>
      </c>
      <c r="AJ132" s="48" t="str">
        <f t="shared" si="16"/>
        <v>2012-03</v>
      </c>
      <c r="AK132" s="49" t="str">
        <f t="shared" si="17"/>
        <v>2013-07</v>
      </c>
      <c r="AL132" s="36">
        <v>40571.0</v>
      </c>
      <c r="AM132" s="4">
        <v>0.7717260207</v>
      </c>
      <c r="AN132" s="47">
        <v>41212.0</v>
      </c>
      <c r="AO132" s="49" t="str">
        <f t="shared" si="18"/>
        <v>2011-01</v>
      </c>
      <c r="AP132" t="str">
        <f t="shared" si="19"/>
        <v>2012-10</v>
      </c>
    </row>
    <row r="133">
      <c r="A133" s="36">
        <v>40157.0</v>
      </c>
      <c r="B133" s="34">
        <v>0.666771339794</v>
      </c>
      <c r="C133" s="36">
        <v>40257.0</v>
      </c>
      <c r="D133" t="str">
        <f t="shared" si="6"/>
        <v>2009-12</v>
      </c>
      <c r="E133" s="44" t="str">
        <f t="shared" si="7"/>
        <v>2010-03</v>
      </c>
      <c r="F133" s="45">
        <v>6726.0</v>
      </c>
      <c r="G133" s="36">
        <v>40670.0</v>
      </c>
      <c r="H133" s="34">
        <v>0.798236716024</v>
      </c>
      <c r="I133" s="36">
        <v>41085.0</v>
      </c>
      <c r="J133" t="str">
        <f t="shared" si="8"/>
        <v>2011-05</v>
      </c>
      <c r="K133" s="44" t="str">
        <f t="shared" si="9"/>
        <v>2012-06</v>
      </c>
      <c r="L133" s="46">
        <v>40954.0</v>
      </c>
      <c r="M133" s="4">
        <v>0.711058177813</v>
      </c>
      <c r="N133" s="36">
        <v>41570.0</v>
      </c>
      <c r="O133" t="str">
        <f t="shared" si="10"/>
        <v>2012-02</v>
      </c>
      <c r="P133" t="str">
        <f t="shared" si="11"/>
        <v>2013-10</v>
      </c>
      <c r="Q133" s="36">
        <v>41787.0</v>
      </c>
      <c r="R133" s="4">
        <v>0.606581538497</v>
      </c>
      <c r="S133" s="36">
        <v>42399.0</v>
      </c>
      <c r="T133" t="str">
        <f t="shared" si="12"/>
        <v>2014-05</v>
      </c>
      <c r="U133" t="str">
        <f t="shared" si="13"/>
        <v>2016-01</v>
      </c>
      <c r="W133" s="36">
        <v>43172.0</v>
      </c>
      <c r="X133" s="4">
        <v>0.700138515606</v>
      </c>
      <c r="Y133" s="4">
        <v>0.389228223696</v>
      </c>
      <c r="Z133" s="4">
        <v>0.492450439758</v>
      </c>
      <c r="AB133" s="36">
        <v>39946.0</v>
      </c>
      <c r="AC133" s="4">
        <v>0.531734035388</v>
      </c>
      <c r="AD133" s="47">
        <v>41805.0</v>
      </c>
      <c r="AE133" t="str">
        <f t="shared" si="14"/>
        <v>2009-05</v>
      </c>
      <c r="AF133" t="str">
        <f t="shared" si="15"/>
        <v>2014-06</v>
      </c>
      <c r="AG133" s="36">
        <v>41000.0</v>
      </c>
      <c r="AH133" s="4">
        <v>0.756979049266</v>
      </c>
      <c r="AI133" s="47">
        <v>41524.0</v>
      </c>
      <c r="AJ133" s="48" t="str">
        <f t="shared" si="16"/>
        <v>2012-04</v>
      </c>
      <c r="AK133" s="49" t="str">
        <f t="shared" si="17"/>
        <v>2013-09</v>
      </c>
      <c r="AL133" s="36">
        <v>40572.0</v>
      </c>
      <c r="AM133" s="4">
        <v>0.281302851739</v>
      </c>
      <c r="AN133" s="47">
        <v>41242.0</v>
      </c>
      <c r="AO133" s="49" t="str">
        <f t="shared" si="18"/>
        <v>2011-01</v>
      </c>
      <c r="AP133" t="str">
        <f t="shared" si="19"/>
        <v>2012-11</v>
      </c>
    </row>
    <row r="134">
      <c r="A134" s="36">
        <v>40158.0</v>
      </c>
      <c r="B134" s="34">
        <v>0.730084153216</v>
      </c>
      <c r="C134" s="36">
        <v>40278.0</v>
      </c>
      <c r="D134" t="str">
        <f t="shared" si="6"/>
        <v>2009-12</v>
      </c>
      <c r="E134" s="44" t="str">
        <f t="shared" si="7"/>
        <v>2010-04</v>
      </c>
      <c r="F134" s="45">
        <v>6695.0</v>
      </c>
      <c r="G134" s="36">
        <v>40675.0</v>
      </c>
      <c r="H134" s="34">
        <v>0.73269261964</v>
      </c>
      <c r="I134" s="36">
        <v>41152.0</v>
      </c>
      <c r="J134" t="str">
        <f t="shared" si="8"/>
        <v>2011-05</v>
      </c>
      <c r="K134" s="44" t="str">
        <f t="shared" si="9"/>
        <v>2012-08</v>
      </c>
      <c r="L134" s="46">
        <v>40955.0</v>
      </c>
      <c r="M134" s="4">
        <v>0.838088632884</v>
      </c>
      <c r="N134" s="36">
        <v>41572.0</v>
      </c>
      <c r="O134" t="str">
        <f t="shared" si="10"/>
        <v>2012-02</v>
      </c>
      <c r="P134" t="str">
        <f t="shared" si="11"/>
        <v>2013-10</v>
      </c>
      <c r="Q134" s="36">
        <v>41788.0</v>
      </c>
      <c r="R134" s="4">
        <v>0.638105370308</v>
      </c>
      <c r="S134" s="36">
        <v>42399.0</v>
      </c>
      <c r="T134" t="str">
        <f t="shared" si="12"/>
        <v>2014-05</v>
      </c>
      <c r="U134" t="str">
        <f t="shared" si="13"/>
        <v>2016-01</v>
      </c>
      <c r="W134" s="36">
        <v>43174.0</v>
      </c>
      <c r="X134" s="4">
        <v>0.705816997374</v>
      </c>
      <c r="Y134" s="4">
        <v>0.385858369504</v>
      </c>
      <c r="Z134" s="4">
        <v>0.489123417488</v>
      </c>
      <c r="AB134" s="36">
        <v>39952.0</v>
      </c>
      <c r="AC134" s="4">
        <v>0.588312807867</v>
      </c>
      <c r="AD134" s="47">
        <v>41841.0</v>
      </c>
      <c r="AE134" t="str">
        <f t="shared" si="14"/>
        <v>2009-05</v>
      </c>
      <c r="AF134" t="str">
        <f t="shared" si="15"/>
        <v>2014-07</v>
      </c>
      <c r="AG134" s="36">
        <v>41001.0</v>
      </c>
      <c r="AH134" s="4">
        <v>0.780285170118</v>
      </c>
      <c r="AI134" s="47">
        <v>41524.0</v>
      </c>
      <c r="AJ134" s="48" t="str">
        <f t="shared" si="16"/>
        <v>2012-04</v>
      </c>
      <c r="AK134" s="49" t="str">
        <f t="shared" si="17"/>
        <v>2013-09</v>
      </c>
      <c r="AL134" s="36">
        <v>40578.0</v>
      </c>
      <c r="AM134" s="4">
        <v>0.744828115258</v>
      </c>
      <c r="AN134" s="47">
        <v>41263.0</v>
      </c>
      <c r="AO134" s="49" t="str">
        <f t="shared" si="18"/>
        <v>2011-02</v>
      </c>
      <c r="AP134" t="str">
        <f t="shared" si="19"/>
        <v>2012-12</v>
      </c>
    </row>
    <row r="135">
      <c r="A135" s="36">
        <v>40159.0</v>
      </c>
      <c r="B135" s="34">
        <v>0.735702313134</v>
      </c>
      <c r="C135" s="36">
        <v>40283.0</v>
      </c>
      <c r="D135" t="str">
        <f t="shared" si="6"/>
        <v>2009-12</v>
      </c>
      <c r="E135" s="44" t="str">
        <f t="shared" si="7"/>
        <v>2010-04</v>
      </c>
      <c r="F135" s="45">
        <v>6695.0</v>
      </c>
      <c r="G135" s="36">
        <v>40677.0</v>
      </c>
      <c r="H135" s="34">
        <v>0.51096540554</v>
      </c>
      <c r="I135" s="36">
        <v>41240.0</v>
      </c>
      <c r="J135" t="str">
        <f t="shared" si="8"/>
        <v>2011-05</v>
      </c>
      <c r="K135" s="44" t="str">
        <f t="shared" si="9"/>
        <v>2012-11</v>
      </c>
      <c r="L135" s="46">
        <v>40961.0</v>
      </c>
      <c r="M135" s="4">
        <v>0.74078228612</v>
      </c>
      <c r="N135" s="36">
        <v>41652.0</v>
      </c>
      <c r="O135" t="str">
        <f t="shared" si="10"/>
        <v>2012-02</v>
      </c>
      <c r="P135" t="str">
        <f t="shared" si="11"/>
        <v>2014-01</v>
      </c>
      <c r="Q135" s="36">
        <v>41792.0</v>
      </c>
      <c r="R135" s="4">
        <v>0.660685996245</v>
      </c>
      <c r="S135" s="36">
        <v>42429.0</v>
      </c>
      <c r="T135" t="str">
        <f t="shared" si="12"/>
        <v>2014-06</v>
      </c>
      <c r="U135" t="str">
        <f t="shared" si="13"/>
        <v>2016-02</v>
      </c>
      <c r="W135" s="36">
        <v>43175.0</v>
      </c>
      <c r="X135" s="4">
        <v>0.714041528484</v>
      </c>
      <c r="Y135" s="4">
        <v>0.39635202999</v>
      </c>
      <c r="Z135" s="4">
        <v>0.49088490117</v>
      </c>
      <c r="AB135" s="36">
        <v>39953.0</v>
      </c>
      <c r="AC135" s="4">
        <v>0.738035735717</v>
      </c>
      <c r="AD135" s="47">
        <v>42308.0</v>
      </c>
      <c r="AE135" t="str">
        <f t="shared" si="14"/>
        <v>2009-05</v>
      </c>
      <c r="AF135" t="str">
        <f t="shared" si="15"/>
        <v>2015-10</v>
      </c>
      <c r="AG135" s="36">
        <v>41005.0</v>
      </c>
      <c r="AH135" s="4">
        <v>0.767587067374</v>
      </c>
      <c r="AI135" s="47">
        <v>41561.0</v>
      </c>
      <c r="AJ135" s="48" t="str">
        <f t="shared" si="16"/>
        <v>2012-04</v>
      </c>
      <c r="AK135" s="49" t="str">
        <f t="shared" si="17"/>
        <v>2013-10</v>
      </c>
      <c r="AL135" s="36">
        <v>40579.0</v>
      </c>
      <c r="AM135" s="4">
        <v>0.64939326543</v>
      </c>
      <c r="AN135" s="47">
        <v>41264.0</v>
      </c>
      <c r="AO135" s="49" t="str">
        <f t="shared" si="18"/>
        <v>2011-02</v>
      </c>
      <c r="AP135" t="str">
        <f t="shared" si="19"/>
        <v>2012-12</v>
      </c>
    </row>
    <row r="136">
      <c r="A136" s="36">
        <v>40160.0</v>
      </c>
      <c r="B136" s="34">
        <v>0.682455762834</v>
      </c>
      <c r="C136" s="36">
        <v>40291.0</v>
      </c>
      <c r="D136" t="str">
        <f t="shared" si="6"/>
        <v>2009-12</v>
      </c>
      <c r="E136" s="44" t="str">
        <f t="shared" si="7"/>
        <v>2010-04</v>
      </c>
      <c r="F136" s="45">
        <v>6695.0</v>
      </c>
      <c r="G136" s="36">
        <v>40683.0</v>
      </c>
      <c r="H136" s="34">
        <v>0.721608999391</v>
      </c>
      <c r="I136" s="36">
        <v>41296.0</v>
      </c>
      <c r="J136" t="str">
        <f t="shared" si="8"/>
        <v>2011-05</v>
      </c>
      <c r="K136" s="44" t="str">
        <f t="shared" si="9"/>
        <v>2013-01</v>
      </c>
      <c r="L136" s="46">
        <v>40965.0</v>
      </c>
      <c r="M136" s="4">
        <v>0.596872757127</v>
      </c>
      <c r="N136" s="36">
        <v>41568.0</v>
      </c>
      <c r="O136" t="str">
        <f t="shared" si="10"/>
        <v>2012-02</v>
      </c>
      <c r="P136" t="str">
        <f t="shared" si="11"/>
        <v>2013-10</v>
      </c>
      <c r="Q136" s="36">
        <v>41799.0</v>
      </c>
      <c r="R136" s="4">
        <v>0.715213306197</v>
      </c>
      <c r="S136" s="36">
        <v>42429.0</v>
      </c>
      <c r="T136" t="str">
        <f t="shared" si="12"/>
        <v>2014-06</v>
      </c>
      <c r="U136" t="str">
        <f t="shared" si="13"/>
        <v>2016-02</v>
      </c>
      <c r="W136" s="36">
        <v>43177.0</v>
      </c>
      <c r="X136" s="4">
        <v>0.658864821747</v>
      </c>
      <c r="Y136" s="4">
        <v>0.378211480587</v>
      </c>
      <c r="Z136" s="4">
        <v>0.490010501374</v>
      </c>
      <c r="AB136" s="36">
        <v>39959.0</v>
      </c>
      <c r="AC136" s="4">
        <v>0.656326637193</v>
      </c>
      <c r="AD136" s="47">
        <v>40790.0</v>
      </c>
      <c r="AE136" t="str">
        <f t="shared" si="14"/>
        <v>2009-05</v>
      </c>
      <c r="AF136" t="str">
        <f t="shared" si="15"/>
        <v>2011-09</v>
      </c>
      <c r="AG136" s="36">
        <v>41006.0</v>
      </c>
      <c r="AH136" s="4">
        <v>0.775883692147</v>
      </c>
      <c r="AI136" s="47">
        <v>41619.0</v>
      </c>
      <c r="AJ136" s="48" t="str">
        <f t="shared" si="16"/>
        <v>2012-04</v>
      </c>
      <c r="AK136" s="49" t="str">
        <f t="shared" si="17"/>
        <v>2013-12</v>
      </c>
      <c r="AL136" s="36">
        <v>40585.0</v>
      </c>
      <c r="AM136" s="4">
        <v>0.743979496265</v>
      </c>
      <c r="AN136" s="47">
        <v>41291.0</v>
      </c>
      <c r="AO136" s="49" t="str">
        <f t="shared" si="18"/>
        <v>2011-02</v>
      </c>
      <c r="AP136" t="str">
        <f t="shared" si="19"/>
        <v>2013-01</v>
      </c>
    </row>
    <row r="137">
      <c r="A137" s="36">
        <v>40161.0</v>
      </c>
      <c r="B137" s="34">
        <v>0.511712785663</v>
      </c>
      <c r="C137" s="36">
        <v>40298.0</v>
      </c>
      <c r="D137" t="str">
        <f t="shared" si="6"/>
        <v>2009-12</v>
      </c>
      <c r="E137" s="44" t="str">
        <f t="shared" si="7"/>
        <v>2010-04</v>
      </c>
      <c r="F137" s="45">
        <v>6695.0</v>
      </c>
      <c r="G137" s="36">
        <v>40690.0</v>
      </c>
      <c r="H137" s="34">
        <v>0.710591347294</v>
      </c>
      <c r="I137" s="36">
        <v>41325.0</v>
      </c>
      <c r="J137" t="str">
        <f t="shared" si="8"/>
        <v>2011-05</v>
      </c>
      <c r="K137" s="44" t="str">
        <f t="shared" si="9"/>
        <v>2013-02</v>
      </c>
      <c r="L137" s="46">
        <v>40966.0</v>
      </c>
      <c r="M137" s="4">
        <v>0.594925923832</v>
      </c>
      <c r="N137" s="36">
        <v>41572.0</v>
      </c>
      <c r="O137" t="str">
        <f t="shared" si="10"/>
        <v>2012-02</v>
      </c>
      <c r="P137" t="str">
        <f t="shared" si="11"/>
        <v>2013-10</v>
      </c>
      <c r="Q137" s="36">
        <v>41806.0</v>
      </c>
      <c r="R137" s="4">
        <v>0.649672655213</v>
      </c>
      <c r="S137" s="36">
        <v>42447.0</v>
      </c>
      <c r="T137" t="str">
        <f t="shared" si="12"/>
        <v>2014-06</v>
      </c>
      <c r="U137" t="str">
        <f t="shared" si="13"/>
        <v>2016-03</v>
      </c>
      <c r="W137" s="36">
        <v>43178.0</v>
      </c>
      <c r="X137" s="4">
        <v>0.699346197567</v>
      </c>
      <c r="Y137" s="4">
        <v>0.385394775235</v>
      </c>
      <c r="Z137" s="4">
        <v>0.499086434608</v>
      </c>
      <c r="AB137" s="36">
        <v>39960.0</v>
      </c>
      <c r="AC137" s="4">
        <v>0.793146563513</v>
      </c>
      <c r="AD137" s="47">
        <v>40804.0</v>
      </c>
      <c r="AE137" t="str">
        <f t="shared" si="14"/>
        <v>2009-05</v>
      </c>
      <c r="AF137" t="str">
        <f t="shared" si="15"/>
        <v>2011-09</v>
      </c>
      <c r="AG137" s="36">
        <v>41007.0</v>
      </c>
      <c r="AH137" s="4">
        <v>0.894649646539</v>
      </c>
      <c r="AI137" s="47">
        <v>41658.0</v>
      </c>
      <c r="AJ137" s="48" t="str">
        <f t="shared" si="16"/>
        <v>2012-04</v>
      </c>
      <c r="AK137" s="49" t="str">
        <f t="shared" si="17"/>
        <v>2014-01</v>
      </c>
      <c r="AL137" s="36">
        <v>40592.0</v>
      </c>
      <c r="AM137" s="4">
        <v>0.684940293501</v>
      </c>
      <c r="AN137" s="47">
        <v>41328.0</v>
      </c>
      <c r="AO137" s="49" t="str">
        <f t="shared" si="18"/>
        <v>2011-02</v>
      </c>
      <c r="AP137" t="str">
        <f t="shared" si="19"/>
        <v>2013-02</v>
      </c>
    </row>
    <row r="138">
      <c r="A138" s="36">
        <v>40164.0</v>
      </c>
      <c r="B138" s="34">
        <v>0.752270698208</v>
      </c>
      <c r="C138" s="36">
        <v>40304.0</v>
      </c>
      <c r="D138" t="str">
        <f t="shared" si="6"/>
        <v>2009-12</v>
      </c>
      <c r="E138" s="44" t="str">
        <f t="shared" si="7"/>
        <v>2010-05</v>
      </c>
      <c r="F138" s="45">
        <v>6695.0</v>
      </c>
      <c r="G138" s="36">
        <v>40691.0</v>
      </c>
      <c r="H138" s="34">
        <v>0.651371731656</v>
      </c>
      <c r="I138" s="36">
        <v>41368.0</v>
      </c>
      <c r="J138" t="str">
        <f t="shared" si="8"/>
        <v>2011-05</v>
      </c>
      <c r="K138" s="44" t="str">
        <f t="shared" si="9"/>
        <v>2013-04</v>
      </c>
      <c r="L138" s="46">
        <v>40967.0</v>
      </c>
      <c r="M138" s="4">
        <v>0.673819371936</v>
      </c>
      <c r="N138" s="36">
        <v>41580.0</v>
      </c>
      <c r="O138" t="str">
        <f t="shared" si="10"/>
        <v>2012-02</v>
      </c>
      <c r="P138" t="str">
        <f t="shared" si="11"/>
        <v>2013-11</v>
      </c>
      <c r="Q138" s="36">
        <v>41808.0</v>
      </c>
      <c r="R138" s="4">
        <v>0.205915484704</v>
      </c>
      <c r="S138" s="36">
        <v>42447.0</v>
      </c>
      <c r="T138" t="str">
        <f t="shared" si="12"/>
        <v>2014-06</v>
      </c>
      <c r="U138" t="str">
        <f t="shared" si="13"/>
        <v>2016-03</v>
      </c>
      <c r="AB138" s="36">
        <v>39966.0</v>
      </c>
      <c r="AC138" s="4">
        <v>0.51508226842</v>
      </c>
      <c r="AD138" s="47">
        <v>40819.0</v>
      </c>
      <c r="AE138" t="str">
        <f t="shared" si="14"/>
        <v>2009-06</v>
      </c>
      <c r="AF138" t="str">
        <f t="shared" si="15"/>
        <v>2011-10</v>
      </c>
      <c r="AG138" s="36">
        <v>41008.0</v>
      </c>
      <c r="AH138" s="4">
        <v>0.701261168643</v>
      </c>
      <c r="AI138" s="47">
        <v>41744.0</v>
      </c>
      <c r="AJ138" s="48" t="str">
        <f t="shared" si="16"/>
        <v>2012-04</v>
      </c>
      <c r="AK138" s="49" t="str">
        <f t="shared" si="17"/>
        <v>2014-04</v>
      </c>
      <c r="AL138" s="36">
        <v>40599.0</v>
      </c>
      <c r="AM138" s="4">
        <v>0.730023388018</v>
      </c>
      <c r="AN138" s="47">
        <v>41359.0</v>
      </c>
      <c r="AO138" s="49" t="str">
        <f t="shared" si="18"/>
        <v>2011-02</v>
      </c>
      <c r="AP138" t="str">
        <f t="shared" si="19"/>
        <v>2013-03</v>
      </c>
    </row>
    <row r="139">
      <c r="A139" s="36">
        <v>40165.0</v>
      </c>
      <c r="B139" s="34">
        <v>0.657597550783</v>
      </c>
      <c r="C139" s="36">
        <v>40311.0</v>
      </c>
      <c r="D139" t="str">
        <f t="shared" si="6"/>
        <v>2009-12</v>
      </c>
      <c r="E139" s="44" t="str">
        <f t="shared" si="7"/>
        <v>2010-05</v>
      </c>
      <c r="F139" s="45">
        <v>6695.0</v>
      </c>
      <c r="G139" s="36">
        <v>40703.0</v>
      </c>
      <c r="H139" s="34">
        <v>0.837562316421</v>
      </c>
      <c r="I139" s="36">
        <v>41416.0</v>
      </c>
      <c r="J139" t="str">
        <f t="shared" si="8"/>
        <v>2011-06</v>
      </c>
      <c r="K139" s="44" t="str">
        <f t="shared" si="9"/>
        <v>2013-05</v>
      </c>
      <c r="L139" s="46">
        <v>40968.0</v>
      </c>
      <c r="M139" s="4">
        <v>0.588317303877</v>
      </c>
      <c r="N139" s="36">
        <v>41593.0</v>
      </c>
      <c r="O139" t="str">
        <f t="shared" si="10"/>
        <v>2012-02</v>
      </c>
      <c r="P139" t="str">
        <f t="shared" si="11"/>
        <v>2013-11</v>
      </c>
      <c r="Q139" s="36">
        <v>41813.0</v>
      </c>
      <c r="R139" s="4">
        <v>0.734818804533</v>
      </c>
      <c r="S139" s="36">
        <v>42454.0</v>
      </c>
      <c r="T139" t="str">
        <f t="shared" si="12"/>
        <v>2014-06</v>
      </c>
      <c r="U139" t="str">
        <f t="shared" si="13"/>
        <v>2016-03</v>
      </c>
      <c r="AB139" s="36">
        <v>39967.0</v>
      </c>
      <c r="AC139" s="4">
        <v>0.562445516252</v>
      </c>
      <c r="AD139" s="47">
        <v>40684.0</v>
      </c>
      <c r="AE139" t="str">
        <f t="shared" si="14"/>
        <v>2009-06</v>
      </c>
      <c r="AF139" t="str">
        <f t="shared" si="15"/>
        <v>2011-05</v>
      </c>
      <c r="AG139" s="36">
        <v>41013.0</v>
      </c>
      <c r="AH139" s="4">
        <v>0.70280190332</v>
      </c>
      <c r="AI139" s="47">
        <v>41791.0</v>
      </c>
      <c r="AJ139" s="48" t="str">
        <f t="shared" si="16"/>
        <v>2012-04</v>
      </c>
      <c r="AK139" s="49" t="str">
        <f t="shared" si="17"/>
        <v>2014-06</v>
      </c>
      <c r="AL139" s="36">
        <v>40606.0</v>
      </c>
      <c r="AM139" s="4">
        <v>0.696077741998</v>
      </c>
      <c r="AN139" s="47">
        <v>41400.0</v>
      </c>
      <c r="AO139" s="49" t="str">
        <f t="shared" si="18"/>
        <v>2011-03</v>
      </c>
      <c r="AP139" t="str">
        <f t="shared" si="19"/>
        <v>2013-05</v>
      </c>
    </row>
    <row r="140">
      <c r="A140" s="36">
        <v>40166.0</v>
      </c>
      <c r="B140" s="34">
        <v>0.750736025432</v>
      </c>
      <c r="C140" s="36">
        <v>40319.0</v>
      </c>
      <c r="D140" t="str">
        <f t="shared" si="6"/>
        <v>2009-12</v>
      </c>
      <c r="E140" s="44" t="str">
        <f t="shared" si="7"/>
        <v>2010-05</v>
      </c>
      <c r="F140" s="45">
        <v>6695.0</v>
      </c>
      <c r="G140" s="36">
        <v>40704.0</v>
      </c>
      <c r="H140" s="34">
        <v>0.724165309374</v>
      </c>
      <c r="I140" s="36">
        <v>41508.0</v>
      </c>
      <c r="J140" t="str">
        <f t="shared" si="8"/>
        <v>2011-06</v>
      </c>
      <c r="K140" s="44" t="str">
        <f t="shared" si="9"/>
        <v>2013-08</v>
      </c>
      <c r="L140" s="46">
        <v>40973.0</v>
      </c>
      <c r="M140" s="4">
        <v>0.710464765427</v>
      </c>
      <c r="N140" s="36">
        <v>41601.0</v>
      </c>
      <c r="O140" t="str">
        <f t="shared" si="10"/>
        <v>2012-03</v>
      </c>
      <c r="P140" t="str">
        <f t="shared" si="11"/>
        <v>2013-11</v>
      </c>
      <c r="Q140" s="36">
        <v>41814.0</v>
      </c>
      <c r="R140" s="4">
        <v>0.861234751364</v>
      </c>
      <c r="S140" s="36">
        <v>42454.0</v>
      </c>
      <c r="T140" t="str">
        <f t="shared" si="12"/>
        <v>2014-06</v>
      </c>
      <c r="U140" t="str">
        <f t="shared" si="13"/>
        <v>2016-03</v>
      </c>
      <c r="AB140" s="36">
        <v>39973.0</v>
      </c>
      <c r="AC140" s="4">
        <v>0.642085071468</v>
      </c>
      <c r="AD140" s="47">
        <v>40750.0</v>
      </c>
      <c r="AE140" t="str">
        <f t="shared" si="14"/>
        <v>2009-06</v>
      </c>
      <c r="AF140" t="str">
        <f t="shared" si="15"/>
        <v>2011-07</v>
      </c>
      <c r="AG140" s="36">
        <v>41014.0</v>
      </c>
      <c r="AH140" s="4">
        <v>0.632078061043</v>
      </c>
      <c r="AI140" s="47">
        <v>41952.0</v>
      </c>
      <c r="AJ140" s="48" t="str">
        <f t="shared" si="16"/>
        <v>2012-04</v>
      </c>
      <c r="AK140" s="49" t="str">
        <f t="shared" si="17"/>
        <v>2014-11</v>
      </c>
      <c r="AL140" s="36">
        <v>40607.0</v>
      </c>
      <c r="AM140" s="4">
        <v>0.792127513258</v>
      </c>
      <c r="AN140" s="47">
        <v>41427.0</v>
      </c>
      <c r="AO140" s="49" t="str">
        <f t="shared" si="18"/>
        <v>2011-03</v>
      </c>
      <c r="AP140" t="str">
        <f t="shared" si="19"/>
        <v>2013-06</v>
      </c>
    </row>
    <row r="141">
      <c r="A141" s="36">
        <v>40167.0</v>
      </c>
      <c r="B141" s="34">
        <v>0.494850632748</v>
      </c>
      <c r="C141" s="36">
        <v>40328.0</v>
      </c>
      <c r="D141" t="str">
        <f t="shared" si="6"/>
        <v>2009-12</v>
      </c>
      <c r="E141" s="44" t="str">
        <f t="shared" si="7"/>
        <v>2010-05</v>
      </c>
      <c r="F141" s="45">
        <v>6618.0</v>
      </c>
      <c r="G141" s="36">
        <v>40705.0</v>
      </c>
      <c r="H141" s="34">
        <v>0.687621593593</v>
      </c>
      <c r="I141" s="36">
        <v>41152.0</v>
      </c>
      <c r="J141" t="str">
        <f t="shared" si="8"/>
        <v>2011-06</v>
      </c>
      <c r="K141" s="44" t="str">
        <f t="shared" si="9"/>
        <v>2012-08</v>
      </c>
      <c r="L141" s="46">
        <v>40974.0</v>
      </c>
      <c r="M141" s="4">
        <v>0.792092723126</v>
      </c>
      <c r="N141" s="36">
        <v>41652.0</v>
      </c>
      <c r="O141" t="str">
        <f t="shared" si="10"/>
        <v>2012-03</v>
      </c>
      <c r="P141" t="str">
        <f t="shared" si="11"/>
        <v>2014-01</v>
      </c>
      <c r="Q141" s="36">
        <v>41815.0</v>
      </c>
      <c r="R141" s="4">
        <v>0.898021387068</v>
      </c>
      <c r="S141" s="36">
        <v>42455.0</v>
      </c>
      <c r="T141" t="str">
        <f t="shared" si="12"/>
        <v>2014-06</v>
      </c>
      <c r="U141" t="str">
        <f t="shared" si="13"/>
        <v>2016-03</v>
      </c>
      <c r="AB141" s="36">
        <v>39974.0</v>
      </c>
      <c r="AC141" s="4">
        <v>0.631055712183</v>
      </c>
      <c r="AD141" s="47">
        <v>40539.0</v>
      </c>
      <c r="AE141" t="str">
        <f t="shared" si="14"/>
        <v>2009-06</v>
      </c>
      <c r="AF141" t="str">
        <f t="shared" si="15"/>
        <v>2010-12</v>
      </c>
      <c r="AG141" s="36">
        <v>41015.0</v>
      </c>
      <c r="AH141" s="4">
        <v>0.685914745102</v>
      </c>
      <c r="AI141" s="47">
        <v>42039.0</v>
      </c>
      <c r="AJ141" s="48" t="str">
        <f t="shared" si="16"/>
        <v>2012-04</v>
      </c>
      <c r="AK141" s="49" t="str">
        <f t="shared" si="17"/>
        <v>2015-02</v>
      </c>
      <c r="AL141" s="36">
        <v>40613.0</v>
      </c>
      <c r="AM141" s="4">
        <v>0.758386833233</v>
      </c>
      <c r="AN141" s="47">
        <v>41493.0</v>
      </c>
      <c r="AO141" s="49" t="str">
        <f t="shared" si="18"/>
        <v>2011-03</v>
      </c>
      <c r="AP141" t="str">
        <f t="shared" si="19"/>
        <v>2013-08</v>
      </c>
    </row>
    <row r="142">
      <c r="A142" s="36">
        <v>40171.0</v>
      </c>
      <c r="B142" s="34">
        <v>0.439917756008</v>
      </c>
      <c r="C142" s="36">
        <v>40340.0</v>
      </c>
      <c r="D142" t="str">
        <f t="shared" si="6"/>
        <v>2009-12</v>
      </c>
      <c r="E142" s="44" t="str">
        <f t="shared" si="7"/>
        <v>2010-06</v>
      </c>
      <c r="F142" s="45">
        <v>6483.0</v>
      </c>
      <c r="G142" s="36">
        <v>40706.0</v>
      </c>
      <c r="H142" s="34">
        <v>0.449920081061</v>
      </c>
      <c r="I142" s="36">
        <v>41240.0</v>
      </c>
      <c r="J142" t="str">
        <f t="shared" si="8"/>
        <v>2011-06</v>
      </c>
      <c r="K142" s="44" t="str">
        <f t="shared" si="9"/>
        <v>2012-11</v>
      </c>
      <c r="L142" s="46">
        <v>40975.0</v>
      </c>
      <c r="M142" s="4">
        <v>0.74899665979</v>
      </c>
      <c r="N142" s="36">
        <v>41677.0</v>
      </c>
      <c r="O142" t="str">
        <f t="shared" si="10"/>
        <v>2012-03</v>
      </c>
      <c r="P142" t="str">
        <f t="shared" si="11"/>
        <v>2014-02</v>
      </c>
      <c r="Q142" s="36">
        <v>41816.0</v>
      </c>
      <c r="R142" s="4">
        <v>0.356614422232</v>
      </c>
      <c r="S142" s="36">
        <v>42455.0</v>
      </c>
      <c r="T142" t="str">
        <f t="shared" si="12"/>
        <v>2014-06</v>
      </c>
      <c r="U142" t="str">
        <f t="shared" si="13"/>
        <v>2016-03</v>
      </c>
      <c r="AB142" s="36">
        <v>39980.0</v>
      </c>
      <c r="AC142" s="4">
        <v>0.582824601359</v>
      </c>
      <c r="AD142" s="47">
        <v>40832.0</v>
      </c>
      <c r="AE142" t="str">
        <f t="shared" si="14"/>
        <v>2009-06</v>
      </c>
      <c r="AF142" t="str">
        <f t="shared" si="15"/>
        <v>2011-10</v>
      </c>
      <c r="AG142" s="36">
        <v>41016.0</v>
      </c>
      <c r="AH142" s="4">
        <v>0.4236012555</v>
      </c>
      <c r="AI142" s="47">
        <v>42041.0</v>
      </c>
      <c r="AJ142" s="48" t="str">
        <f t="shared" si="16"/>
        <v>2012-04</v>
      </c>
      <c r="AK142" s="49" t="str">
        <f t="shared" si="17"/>
        <v>2015-02</v>
      </c>
      <c r="AL142" s="36">
        <v>40614.0</v>
      </c>
      <c r="AM142" s="4">
        <v>0.837927153708</v>
      </c>
      <c r="AN142" s="47">
        <v>41557.0</v>
      </c>
      <c r="AO142" s="49" t="str">
        <f t="shared" si="18"/>
        <v>2011-03</v>
      </c>
      <c r="AP142" t="str">
        <f t="shared" si="19"/>
        <v>2013-10</v>
      </c>
    </row>
    <row r="143">
      <c r="A143" s="36">
        <v>40172.0</v>
      </c>
      <c r="B143" s="34">
        <v>0.580075005341</v>
      </c>
      <c r="C143" s="36">
        <v>40350.0</v>
      </c>
      <c r="D143" t="str">
        <f t="shared" si="6"/>
        <v>2009-12</v>
      </c>
      <c r="E143" s="44" t="str">
        <f t="shared" si="7"/>
        <v>2010-06</v>
      </c>
      <c r="F143" s="45">
        <v>6396.0</v>
      </c>
      <c r="G143" s="36">
        <v>40710.0</v>
      </c>
      <c r="H143" s="34">
        <v>0.686600686958</v>
      </c>
      <c r="I143" s="36">
        <v>41297.0</v>
      </c>
      <c r="J143" t="str">
        <f t="shared" si="8"/>
        <v>2011-06</v>
      </c>
      <c r="K143" s="44" t="str">
        <f t="shared" si="9"/>
        <v>2013-01</v>
      </c>
      <c r="L143" s="46">
        <v>40979.0</v>
      </c>
      <c r="M143" s="4">
        <v>0.507650272109</v>
      </c>
      <c r="N143" s="36">
        <v>41603.0</v>
      </c>
      <c r="O143" t="str">
        <f t="shared" si="10"/>
        <v>2012-03</v>
      </c>
      <c r="P143" t="str">
        <f t="shared" si="11"/>
        <v>2013-11</v>
      </c>
      <c r="Q143" s="36">
        <v>41820.0</v>
      </c>
      <c r="R143" s="4">
        <v>0.911476420253</v>
      </c>
      <c r="S143" s="36">
        <v>42467.0</v>
      </c>
      <c r="T143" t="str">
        <f t="shared" si="12"/>
        <v>2014-06</v>
      </c>
      <c r="U143" t="str">
        <f t="shared" si="13"/>
        <v>2016-04</v>
      </c>
      <c r="AB143" s="36">
        <v>39981.0</v>
      </c>
      <c r="AC143" s="4">
        <v>0.617552791654</v>
      </c>
      <c r="AD143" s="47">
        <v>40847.0</v>
      </c>
      <c r="AE143" t="str">
        <f t="shared" si="14"/>
        <v>2009-06</v>
      </c>
      <c r="AF143" t="str">
        <f t="shared" si="15"/>
        <v>2011-10</v>
      </c>
      <c r="AG143" s="36">
        <v>41019.0</v>
      </c>
      <c r="AH143" s="4">
        <v>0.768570199303</v>
      </c>
      <c r="AI143" s="47">
        <v>42077.0</v>
      </c>
      <c r="AJ143" s="48" t="str">
        <f t="shared" si="16"/>
        <v>2012-04</v>
      </c>
      <c r="AK143" s="49" t="str">
        <f t="shared" si="17"/>
        <v>2015-03</v>
      </c>
      <c r="AL143" s="36">
        <v>40620.0</v>
      </c>
      <c r="AM143" s="4">
        <v>0.736476590784</v>
      </c>
      <c r="AN143" s="47">
        <v>41334.0</v>
      </c>
      <c r="AO143" s="49" t="str">
        <f t="shared" si="18"/>
        <v>2011-03</v>
      </c>
      <c r="AP143" t="str">
        <f t="shared" si="19"/>
        <v>2013-03</v>
      </c>
    </row>
    <row r="144">
      <c r="A144" s="36">
        <v>40173.0</v>
      </c>
      <c r="B144" s="34">
        <v>0.693728863184</v>
      </c>
      <c r="C144" s="36">
        <v>40362.0</v>
      </c>
      <c r="D144" t="str">
        <f t="shared" si="6"/>
        <v>2009-12</v>
      </c>
      <c r="E144" s="44" t="str">
        <f t="shared" si="7"/>
        <v>2010-07</v>
      </c>
      <c r="F144" s="45">
        <v>6327.0</v>
      </c>
      <c r="G144" s="36">
        <v>40711.0</v>
      </c>
      <c r="H144" s="34">
        <v>0.75295623212</v>
      </c>
      <c r="I144" s="36">
        <v>41325.0</v>
      </c>
      <c r="J144" t="str">
        <f t="shared" si="8"/>
        <v>2011-06</v>
      </c>
      <c r="K144" s="44" t="str">
        <f t="shared" si="9"/>
        <v>2013-02</v>
      </c>
      <c r="L144" s="46">
        <v>40980.0</v>
      </c>
      <c r="M144" s="4">
        <v>0.656367863405</v>
      </c>
      <c r="N144" s="36">
        <v>41617.0</v>
      </c>
      <c r="O144" t="str">
        <f t="shared" si="10"/>
        <v>2012-03</v>
      </c>
      <c r="P144" t="str">
        <f t="shared" si="11"/>
        <v>2013-12</v>
      </c>
      <c r="Q144" s="36">
        <v>41821.0</v>
      </c>
      <c r="R144" s="4">
        <v>0.769105634148</v>
      </c>
      <c r="S144" s="36">
        <v>42467.0</v>
      </c>
      <c r="T144" t="str">
        <f t="shared" si="12"/>
        <v>2014-07</v>
      </c>
      <c r="U144" t="str">
        <f t="shared" si="13"/>
        <v>2016-04</v>
      </c>
      <c r="AB144" s="36">
        <v>39987.0</v>
      </c>
      <c r="AC144" s="4">
        <v>0.680456831863</v>
      </c>
      <c r="AD144" s="47">
        <v>40850.0</v>
      </c>
      <c r="AE144" t="str">
        <f t="shared" si="14"/>
        <v>2009-06</v>
      </c>
      <c r="AF144" t="str">
        <f t="shared" si="15"/>
        <v>2011-11</v>
      </c>
      <c r="AG144" s="36">
        <v>41020.0</v>
      </c>
      <c r="AH144" s="4">
        <v>0.835698873819</v>
      </c>
      <c r="AI144" s="47">
        <v>42087.0</v>
      </c>
      <c r="AJ144" s="48" t="str">
        <f t="shared" si="16"/>
        <v>2012-04</v>
      </c>
      <c r="AK144" s="49" t="str">
        <f t="shared" si="17"/>
        <v>2015-03</v>
      </c>
      <c r="AL144" s="36">
        <v>40621.0</v>
      </c>
      <c r="AM144" s="4">
        <v>0.812403816837</v>
      </c>
      <c r="AN144" s="47">
        <v>41370.0</v>
      </c>
      <c r="AO144" s="49" t="str">
        <f t="shared" si="18"/>
        <v>2011-03</v>
      </c>
      <c r="AP144" t="str">
        <f t="shared" si="19"/>
        <v>2013-04</v>
      </c>
    </row>
    <row r="145">
      <c r="A145" s="36">
        <v>40174.0</v>
      </c>
      <c r="B145" s="34">
        <v>0.564800855373</v>
      </c>
      <c r="C145" s="36">
        <v>40376.0</v>
      </c>
      <c r="D145" t="str">
        <f t="shared" si="6"/>
        <v>2009-12</v>
      </c>
      <c r="E145" s="44" t="str">
        <f t="shared" si="7"/>
        <v>2010-07</v>
      </c>
      <c r="F145" s="45">
        <v>6245.0</v>
      </c>
      <c r="G145" s="36">
        <v>40712.0</v>
      </c>
      <c r="H145" s="34">
        <v>0.626921480391</v>
      </c>
      <c r="I145" s="36">
        <v>41368.0</v>
      </c>
      <c r="J145" t="str">
        <f t="shared" si="8"/>
        <v>2011-06</v>
      </c>
      <c r="K145" s="44" t="str">
        <f t="shared" si="9"/>
        <v>2013-04</v>
      </c>
      <c r="L145" s="46">
        <v>40981.0</v>
      </c>
      <c r="M145" s="4">
        <v>0.772805273039</v>
      </c>
      <c r="N145" s="36">
        <v>41629.0</v>
      </c>
      <c r="O145" t="str">
        <f t="shared" si="10"/>
        <v>2012-03</v>
      </c>
      <c r="P145" t="str">
        <f t="shared" si="11"/>
        <v>2013-12</v>
      </c>
      <c r="Q145" s="36">
        <v>41823.0</v>
      </c>
      <c r="R145" s="4">
        <v>0.76931038242</v>
      </c>
      <c r="S145" s="36">
        <v>42497.0</v>
      </c>
      <c r="T145" t="str">
        <f t="shared" si="12"/>
        <v>2014-07</v>
      </c>
      <c r="U145" t="str">
        <f t="shared" si="13"/>
        <v>2016-05</v>
      </c>
      <c r="AB145" s="36">
        <v>39988.0</v>
      </c>
      <c r="AC145" s="4">
        <v>0.587240516034</v>
      </c>
      <c r="AD145" s="47">
        <v>40861.0</v>
      </c>
      <c r="AE145" t="str">
        <f t="shared" si="14"/>
        <v>2009-06</v>
      </c>
      <c r="AF145" t="str">
        <f t="shared" si="15"/>
        <v>2011-11</v>
      </c>
      <c r="AG145" s="36">
        <v>41022.0</v>
      </c>
      <c r="AH145" s="4">
        <v>0.619478118371</v>
      </c>
      <c r="AI145" s="47">
        <v>42164.0</v>
      </c>
      <c r="AJ145" s="48" t="str">
        <f t="shared" si="16"/>
        <v>2012-04</v>
      </c>
      <c r="AK145" s="49" t="str">
        <f t="shared" si="17"/>
        <v>2015-06</v>
      </c>
      <c r="AL145" s="36">
        <v>40627.0</v>
      </c>
      <c r="AM145" s="4">
        <v>0.731183723009</v>
      </c>
      <c r="AN145" s="47">
        <v>41427.0</v>
      </c>
      <c r="AO145" s="49" t="str">
        <f t="shared" si="18"/>
        <v>2011-03</v>
      </c>
      <c r="AP145" t="str">
        <f t="shared" si="19"/>
        <v>2013-06</v>
      </c>
    </row>
    <row r="146">
      <c r="A146" s="36">
        <v>40178.0</v>
      </c>
      <c r="B146" s="34">
        <v>0.774628408084</v>
      </c>
      <c r="C146" s="36">
        <v>40385.0</v>
      </c>
      <c r="D146" t="str">
        <f t="shared" si="6"/>
        <v>2009-12</v>
      </c>
      <c r="E146" s="44" t="str">
        <f t="shared" si="7"/>
        <v>2010-07</v>
      </c>
      <c r="F146" s="45">
        <v>6066.0</v>
      </c>
      <c r="G146" s="36">
        <v>40713.0</v>
      </c>
      <c r="H146" s="34">
        <v>0.450459408981</v>
      </c>
      <c r="I146" s="36">
        <v>41416.0</v>
      </c>
      <c r="J146" t="str">
        <f t="shared" si="8"/>
        <v>2011-06</v>
      </c>
      <c r="K146" s="44" t="str">
        <f t="shared" si="9"/>
        <v>2013-05</v>
      </c>
      <c r="L146" s="46">
        <v>40982.0</v>
      </c>
      <c r="M146" s="4">
        <v>0.754879879077</v>
      </c>
      <c r="N146" s="36">
        <v>41636.0</v>
      </c>
      <c r="O146" t="str">
        <f t="shared" si="10"/>
        <v>2012-03</v>
      </c>
      <c r="P146" t="str">
        <f t="shared" si="11"/>
        <v>2013-12</v>
      </c>
      <c r="Q146" s="36">
        <v>41827.0</v>
      </c>
      <c r="R146" s="4">
        <v>0.440770235749</v>
      </c>
      <c r="S146" s="36">
        <v>42497.0</v>
      </c>
      <c r="T146" t="str">
        <f t="shared" si="12"/>
        <v>2014-07</v>
      </c>
      <c r="U146" t="str">
        <f t="shared" si="13"/>
        <v>2016-05</v>
      </c>
      <c r="AB146" s="36">
        <v>39994.0</v>
      </c>
      <c r="AC146" s="4">
        <v>0.62458113332</v>
      </c>
      <c r="AD146" s="47">
        <v>40875.0</v>
      </c>
      <c r="AE146" t="str">
        <f t="shared" si="14"/>
        <v>2009-06</v>
      </c>
      <c r="AF146" t="str">
        <f t="shared" si="15"/>
        <v>2011-11</v>
      </c>
      <c r="AG146" s="36">
        <v>41023.0</v>
      </c>
      <c r="AH146" s="4">
        <v>0.963688484669</v>
      </c>
      <c r="AI146" s="47">
        <v>42166.0</v>
      </c>
      <c r="AJ146" s="48" t="str">
        <f t="shared" si="16"/>
        <v>2012-04</v>
      </c>
      <c r="AK146" s="49" t="str">
        <f t="shared" si="17"/>
        <v>2015-06</v>
      </c>
      <c r="AL146" s="36">
        <v>40628.0</v>
      </c>
      <c r="AM146" s="4">
        <v>0.691400757067</v>
      </c>
      <c r="AN146" s="47">
        <v>41444.0</v>
      </c>
      <c r="AO146" s="49" t="str">
        <f t="shared" si="18"/>
        <v>2011-03</v>
      </c>
      <c r="AP146" t="str">
        <f t="shared" si="19"/>
        <v>2013-06</v>
      </c>
    </row>
    <row r="147">
      <c r="A147" s="36">
        <v>40180.0</v>
      </c>
      <c r="B147" s="34">
        <v>0.745247042941</v>
      </c>
      <c r="C147" s="36">
        <v>40394.0</v>
      </c>
      <c r="D147" t="str">
        <f t="shared" si="6"/>
        <v>2010-01</v>
      </c>
      <c r="E147" s="44" t="str">
        <f t="shared" si="7"/>
        <v>2010-08</v>
      </c>
      <c r="F147" s="45">
        <v>5578.0</v>
      </c>
      <c r="G147" s="36">
        <v>40717.0</v>
      </c>
      <c r="H147" s="34">
        <v>0.852212428571</v>
      </c>
      <c r="I147" s="36">
        <v>41521.0</v>
      </c>
      <c r="J147" t="str">
        <f t="shared" si="8"/>
        <v>2011-06</v>
      </c>
      <c r="K147" s="44" t="str">
        <f t="shared" si="9"/>
        <v>2013-09</v>
      </c>
      <c r="L147" s="46">
        <v>40986.0</v>
      </c>
      <c r="M147" s="4">
        <v>0.691576660846</v>
      </c>
      <c r="N147" s="36">
        <v>41646.0</v>
      </c>
      <c r="O147" t="str">
        <f t="shared" si="10"/>
        <v>2012-03</v>
      </c>
      <c r="P147" t="str">
        <f t="shared" si="11"/>
        <v>2014-01</v>
      </c>
      <c r="Q147" s="36">
        <v>41828.0</v>
      </c>
      <c r="R147" s="4">
        <v>0.700859778717</v>
      </c>
      <c r="S147" s="36">
        <v>42501.0</v>
      </c>
      <c r="T147" t="str">
        <f t="shared" si="12"/>
        <v>2014-07</v>
      </c>
      <c r="U147" t="str">
        <f t="shared" si="13"/>
        <v>2016-05</v>
      </c>
      <c r="AB147" s="36">
        <v>39995.0</v>
      </c>
      <c r="AC147" s="4">
        <v>0.725443945339</v>
      </c>
      <c r="AD147" s="47">
        <v>40906.0</v>
      </c>
      <c r="AE147" t="str">
        <f t="shared" si="14"/>
        <v>2009-07</v>
      </c>
      <c r="AF147" t="str">
        <f t="shared" si="15"/>
        <v>2011-12</v>
      </c>
      <c r="AG147" s="36">
        <v>41026.0</v>
      </c>
      <c r="AH147" s="4">
        <v>0.868339465387</v>
      </c>
      <c r="AI147" s="47">
        <v>42178.0</v>
      </c>
      <c r="AJ147" s="48" t="str">
        <f t="shared" si="16"/>
        <v>2012-04</v>
      </c>
      <c r="AK147" s="49" t="str">
        <f t="shared" si="17"/>
        <v>2015-06</v>
      </c>
      <c r="AL147" s="36">
        <v>40634.0</v>
      </c>
      <c r="AM147" s="4">
        <v>0.696241474884</v>
      </c>
      <c r="AN147" s="47">
        <v>41470.0</v>
      </c>
      <c r="AO147" s="49" t="str">
        <f t="shared" si="18"/>
        <v>2011-04</v>
      </c>
      <c r="AP147" t="str">
        <f t="shared" si="19"/>
        <v>2013-07</v>
      </c>
    </row>
    <row r="148">
      <c r="A148" s="36">
        <v>40181.0</v>
      </c>
      <c r="B148" s="34">
        <v>0.596036361406</v>
      </c>
      <c r="C148" s="36">
        <v>40403.0</v>
      </c>
      <c r="D148" t="str">
        <f t="shared" si="6"/>
        <v>2010-01</v>
      </c>
      <c r="E148" s="44" t="str">
        <f t="shared" si="7"/>
        <v>2010-08</v>
      </c>
      <c r="F148" s="45">
        <v>5323.0</v>
      </c>
      <c r="G148" s="36">
        <v>40718.0</v>
      </c>
      <c r="H148" s="34">
        <v>0.42906569996</v>
      </c>
      <c r="I148" s="36">
        <v>41561.0</v>
      </c>
      <c r="J148" t="str">
        <f t="shared" si="8"/>
        <v>2011-06</v>
      </c>
      <c r="K148" s="44" t="str">
        <f t="shared" si="9"/>
        <v>2013-10</v>
      </c>
      <c r="L148" s="46">
        <v>40987.0</v>
      </c>
      <c r="M148" s="4">
        <v>0.878233220607</v>
      </c>
      <c r="N148" s="36">
        <v>41652.0</v>
      </c>
      <c r="O148" t="str">
        <f t="shared" si="10"/>
        <v>2012-03</v>
      </c>
      <c r="P148" t="str">
        <f t="shared" si="11"/>
        <v>2014-01</v>
      </c>
      <c r="Q148" s="36">
        <v>41829.0</v>
      </c>
      <c r="R148" s="4">
        <v>0.850771804708</v>
      </c>
      <c r="S148" s="36">
        <v>42501.0</v>
      </c>
      <c r="T148" t="str">
        <f t="shared" si="12"/>
        <v>2014-07</v>
      </c>
      <c r="U148" t="str">
        <f t="shared" si="13"/>
        <v>2016-05</v>
      </c>
      <c r="AB148" s="36">
        <v>40001.0</v>
      </c>
      <c r="AC148" s="4">
        <v>0.673505486574</v>
      </c>
      <c r="AD148" s="47">
        <v>40945.0</v>
      </c>
      <c r="AE148" t="str">
        <f t="shared" si="14"/>
        <v>2009-07</v>
      </c>
      <c r="AF148" t="str">
        <f t="shared" si="15"/>
        <v>2012-02</v>
      </c>
      <c r="AG148" s="36">
        <v>41027.0</v>
      </c>
      <c r="AH148" s="4">
        <v>0.889157344153</v>
      </c>
      <c r="AI148" s="47">
        <v>42186.0</v>
      </c>
      <c r="AJ148" s="48" t="str">
        <f t="shared" si="16"/>
        <v>2012-04</v>
      </c>
      <c r="AK148" s="49" t="str">
        <f t="shared" si="17"/>
        <v>2015-07</v>
      </c>
      <c r="AL148" s="36">
        <v>40635.0</v>
      </c>
      <c r="AM148" s="4">
        <v>0.861990159333</v>
      </c>
      <c r="AN148" s="47">
        <v>41493.0</v>
      </c>
      <c r="AO148" s="49" t="str">
        <f t="shared" si="18"/>
        <v>2011-04</v>
      </c>
      <c r="AP148" t="str">
        <f t="shared" si="19"/>
        <v>2013-08</v>
      </c>
    </row>
    <row r="149">
      <c r="A149" s="36">
        <v>40185.0</v>
      </c>
      <c r="B149" s="34">
        <v>0.746023336793</v>
      </c>
      <c r="C149" s="36">
        <v>40410.0</v>
      </c>
      <c r="D149" t="str">
        <f t="shared" si="6"/>
        <v>2010-01</v>
      </c>
      <c r="E149" s="44" t="str">
        <f t="shared" si="7"/>
        <v>2010-08</v>
      </c>
      <c r="F149" s="45">
        <v>5691.0</v>
      </c>
      <c r="G149" s="36">
        <v>40719.0</v>
      </c>
      <c r="H149" s="34">
        <v>0.861678654675</v>
      </c>
      <c r="I149" s="36">
        <v>41499.0</v>
      </c>
      <c r="J149" t="str">
        <f t="shared" si="8"/>
        <v>2011-06</v>
      </c>
      <c r="K149" s="44" t="str">
        <f t="shared" si="9"/>
        <v>2013-08</v>
      </c>
      <c r="L149" s="46">
        <v>40988.0</v>
      </c>
      <c r="M149" s="4">
        <v>0.836383481041</v>
      </c>
      <c r="N149" s="36">
        <v>41677.0</v>
      </c>
      <c r="O149" t="str">
        <f t="shared" si="10"/>
        <v>2012-03</v>
      </c>
      <c r="P149" t="str">
        <f t="shared" si="11"/>
        <v>2014-02</v>
      </c>
      <c r="Q149" s="36">
        <v>41830.0</v>
      </c>
      <c r="R149" s="4">
        <v>0.931281852422</v>
      </c>
      <c r="S149" s="36">
        <v>42501.0</v>
      </c>
      <c r="T149" t="str">
        <f t="shared" si="12"/>
        <v>2014-07</v>
      </c>
      <c r="U149" t="str">
        <f t="shared" si="13"/>
        <v>2016-05</v>
      </c>
      <c r="AB149" s="36">
        <v>40002.0</v>
      </c>
      <c r="AC149" s="4">
        <v>0.678228123911</v>
      </c>
      <c r="AD149" s="47">
        <v>40959.0</v>
      </c>
      <c r="AE149" t="str">
        <f t="shared" si="14"/>
        <v>2009-07</v>
      </c>
      <c r="AF149" t="str">
        <f t="shared" si="15"/>
        <v>2012-02</v>
      </c>
      <c r="AG149" s="36">
        <v>41028.0</v>
      </c>
      <c r="AH149" s="4">
        <v>0.551350666353</v>
      </c>
      <c r="AI149" s="47">
        <v>42246.0</v>
      </c>
      <c r="AJ149" s="48" t="str">
        <f t="shared" si="16"/>
        <v>2012-04</v>
      </c>
      <c r="AK149" s="49" t="str">
        <f t="shared" si="17"/>
        <v>2015-08</v>
      </c>
      <c r="AL149" s="36">
        <v>40641.0</v>
      </c>
      <c r="AM149" s="4">
        <v>0.644926122963</v>
      </c>
      <c r="AN149" s="47">
        <v>41512.0</v>
      </c>
      <c r="AO149" s="49" t="str">
        <f t="shared" si="18"/>
        <v>2011-04</v>
      </c>
      <c r="AP149" t="str">
        <f t="shared" si="19"/>
        <v>2013-08</v>
      </c>
    </row>
    <row r="150">
      <c r="A150" s="36">
        <v>40186.0</v>
      </c>
      <c r="B150" s="34">
        <v>0.750790406816</v>
      </c>
      <c r="C150" s="36">
        <v>40431.0</v>
      </c>
      <c r="D150" t="str">
        <f t="shared" si="6"/>
        <v>2010-01</v>
      </c>
      <c r="E150" s="44" t="str">
        <f t="shared" si="7"/>
        <v>2010-09</v>
      </c>
      <c r="F150" s="45">
        <v>5159.0</v>
      </c>
      <c r="G150" s="36">
        <v>40720.0</v>
      </c>
      <c r="H150" s="34">
        <v>0.726051350521</v>
      </c>
      <c r="I150" s="36">
        <v>41586.0</v>
      </c>
      <c r="J150" t="str">
        <f t="shared" si="8"/>
        <v>2011-06</v>
      </c>
      <c r="K150" s="44" t="str">
        <f t="shared" si="9"/>
        <v>2013-11</v>
      </c>
      <c r="L150" s="46">
        <v>40989.0</v>
      </c>
      <c r="M150" s="4">
        <v>0.629664166349</v>
      </c>
      <c r="N150" s="36">
        <v>41646.0</v>
      </c>
      <c r="O150" t="str">
        <f t="shared" si="10"/>
        <v>2012-03</v>
      </c>
      <c r="P150" t="str">
        <f t="shared" si="11"/>
        <v>2014-01</v>
      </c>
      <c r="Q150" s="36">
        <v>41834.0</v>
      </c>
      <c r="R150" s="4">
        <v>0.371614450226</v>
      </c>
      <c r="S150" s="36">
        <v>42501.0</v>
      </c>
      <c r="T150" t="str">
        <f t="shared" si="12"/>
        <v>2014-07</v>
      </c>
      <c r="U150" t="str">
        <f t="shared" si="13"/>
        <v>2016-05</v>
      </c>
      <c r="AB150" s="36">
        <v>40008.0</v>
      </c>
      <c r="AC150" s="4">
        <v>0.694673073966</v>
      </c>
      <c r="AD150" s="47">
        <v>40917.0</v>
      </c>
      <c r="AE150" t="str">
        <f t="shared" si="14"/>
        <v>2009-07</v>
      </c>
      <c r="AF150" t="str">
        <f t="shared" si="15"/>
        <v>2012-01</v>
      </c>
      <c r="AG150" s="36">
        <v>41029.0</v>
      </c>
      <c r="AH150" s="4">
        <v>0.591875697992</v>
      </c>
      <c r="AI150" s="47">
        <v>42465.0</v>
      </c>
      <c r="AJ150" s="48" t="str">
        <f t="shared" si="16"/>
        <v>2012-04</v>
      </c>
      <c r="AK150" s="49" t="str">
        <f t="shared" si="17"/>
        <v>2016-04</v>
      </c>
      <c r="AL150" s="36">
        <v>40642.0</v>
      </c>
      <c r="AM150" s="4">
        <v>0.749492371758</v>
      </c>
      <c r="AN150" s="47">
        <v>41543.0</v>
      </c>
      <c r="AO150" s="49" t="str">
        <f t="shared" si="18"/>
        <v>2011-04</v>
      </c>
      <c r="AP150" t="str">
        <f t="shared" si="19"/>
        <v>2013-09</v>
      </c>
    </row>
    <row r="151">
      <c r="A151" s="36">
        <v>40187.0</v>
      </c>
      <c r="B151" s="34">
        <v>0.694294170073</v>
      </c>
      <c r="C151" s="36">
        <v>40438.0</v>
      </c>
      <c r="D151" t="str">
        <f t="shared" si="6"/>
        <v>2010-01</v>
      </c>
      <c r="E151" s="44" t="str">
        <f t="shared" si="7"/>
        <v>2010-09</v>
      </c>
      <c r="F151" s="45">
        <v>5101.0</v>
      </c>
      <c r="G151" s="36">
        <v>40724.0</v>
      </c>
      <c r="H151" s="34">
        <v>0.68001718576</v>
      </c>
      <c r="I151" s="36">
        <v>41593.0</v>
      </c>
      <c r="J151" t="str">
        <f t="shared" si="8"/>
        <v>2011-06</v>
      </c>
      <c r="K151" s="44" t="str">
        <f t="shared" si="9"/>
        <v>2013-11</v>
      </c>
      <c r="L151" s="46">
        <v>40993.0</v>
      </c>
      <c r="M151" s="4">
        <v>0.642778129545</v>
      </c>
      <c r="N151" s="36">
        <v>41652.0</v>
      </c>
      <c r="O151" t="str">
        <f t="shared" si="10"/>
        <v>2012-03</v>
      </c>
      <c r="P151" t="str">
        <f t="shared" si="11"/>
        <v>2014-01</v>
      </c>
      <c r="Q151" s="36">
        <v>41836.0</v>
      </c>
      <c r="R151" s="4">
        <v>0.928256214593</v>
      </c>
      <c r="S151" s="36">
        <v>42537.0</v>
      </c>
      <c r="T151" t="str">
        <f t="shared" si="12"/>
        <v>2014-07</v>
      </c>
      <c r="U151" t="str">
        <f t="shared" si="13"/>
        <v>2016-06</v>
      </c>
      <c r="AB151" s="36">
        <v>40009.0</v>
      </c>
      <c r="AC151" s="4">
        <v>0.669456796459</v>
      </c>
      <c r="AD151" s="47">
        <v>40931.0</v>
      </c>
      <c r="AE151" t="str">
        <f t="shared" si="14"/>
        <v>2009-07</v>
      </c>
      <c r="AF151" t="str">
        <f t="shared" si="15"/>
        <v>2012-01</v>
      </c>
      <c r="AG151" s="36">
        <v>41033.0</v>
      </c>
      <c r="AH151" s="4">
        <v>0.590468657209</v>
      </c>
      <c r="AI151" s="47">
        <v>42359.0</v>
      </c>
      <c r="AJ151" s="48" t="str">
        <f t="shared" si="16"/>
        <v>2012-05</v>
      </c>
      <c r="AK151" s="49" t="str">
        <f t="shared" si="17"/>
        <v>2015-12</v>
      </c>
      <c r="AL151" s="36">
        <v>40648.0</v>
      </c>
      <c r="AM151" s="4">
        <v>0.776642661177</v>
      </c>
      <c r="AN151" s="47">
        <v>41543.0</v>
      </c>
      <c r="AO151" s="49" t="str">
        <f t="shared" si="18"/>
        <v>2011-04</v>
      </c>
      <c r="AP151" t="str">
        <f t="shared" si="19"/>
        <v>2013-09</v>
      </c>
    </row>
    <row r="152">
      <c r="A152" s="36">
        <v>40188.0</v>
      </c>
      <c r="B152" s="34">
        <v>0.701517697645</v>
      </c>
      <c r="C152" s="36">
        <v>40453.0</v>
      </c>
      <c r="D152" t="str">
        <f t="shared" si="6"/>
        <v>2010-01</v>
      </c>
      <c r="E152" s="44" t="str">
        <f t="shared" si="7"/>
        <v>2010-10</v>
      </c>
      <c r="F152" s="45">
        <v>5044.0</v>
      </c>
      <c r="G152" s="36">
        <v>40727.0</v>
      </c>
      <c r="H152" s="34">
        <v>0.766126188755</v>
      </c>
      <c r="I152" s="36">
        <v>41600.0</v>
      </c>
      <c r="J152" t="str">
        <f t="shared" si="8"/>
        <v>2011-07</v>
      </c>
      <c r="K152" s="44" t="str">
        <f t="shared" si="9"/>
        <v>2013-11</v>
      </c>
      <c r="L152" s="46">
        <v>40994.0</v>
      </c>
      <c r="M152" s="4">
        <v>0.685173393255</v>
      </c>
      <c r="N152" s="36">
        <v>41660.0</v>
      </c>
      <c r="O152" t="str">
        <f t="shared" si="10"/>
        <v>2012-03</v>
      </c>
      <c r="P152" t="str">
        <f t="shared" si="11"/>
        <v>2014-01</v>
      </c>
      <c r="Q152" s="36">
        <v>41838.0</v>
      </c>
      <c r="R152" s="4">
        <v>0.868487003895</v>
      </c>
      <c r="S152" s="36">
        <v>42537.0</v>
      </c>
      <c r="T152" t="str">
        <f t="shared" si="12"/>
        <v>2014-07</v>
      </c>
      <c r="U152" t="str">
        <f t="shared" si="13"/>
        <v>2016-06</v>
      </c>
      <c r="AB152" s="36">
        <v>40015.0</v>
      </c>
      <c r="AC152" s="4">
        <v>0.75059668102</v>
      </c>
      <c r="AD152" s="47">
        <v>40973.0</v>
      </c>
      <c r="AE152" t="str">
        <f t="shared" si="14"/>
        <v>2009-07</v>
      </c>
      <c r="AF152" t="str">
        <f t="shared" si="15"/>
        <v>2012-03</v>
      </c>
      <c r="AG152" s="36">
        <v>41034.0</v>
      </c>
      <c r="AH152" s="4">
        <v>0.833529754265</v>
      </c>
      <c r="AI152" s="47">
        <v>42412.0</v>
      </c>
      <c r="AJ152" s="48" t="str">
        <f t="shared" si="16"/>
        <v>2012-05</v>
      </c>
      <c r="AK152" s="49" t="str">
        <f t="shared" si="17"/>
        <v>2016-02</v>
      </c>
      <c r="AL152" s="36">
        <v>40649.0</v>
      </c>
      <c r="AM152" s="4">
        <v>0.590713466298</v>
      </c>
      <c r="AN152" s="47">
        <v>41557.0</v>
      </c>
      <c r="AO152" s="49" t="str">
        <f t="shared" si="18"/>
        <v>2011-04</v>
      </c>
      <c r="AP152" t="str">
        <f t="shared" si="19"/>
        <v>2013-10</v>
      </c>
    </row>
    <row r="153">
      <c r="A153" s="36">
        <v>40192.0</v>
      </c>
      <c r="B153" s="34">
        <v>0.626577709859</v>
      </c>
      <c r="C153" s="36">
        <v>40475.0</v>
      </c>
      <c r="D153" t="str">
        <f t="shared" si="6"/>
        <v>2010-01</v>
      </c>
      <c r="E153" s="44" t="str">
        <f t="shared" si="7"/>
        <v>2010-10</v>
      </c>
      <c r="F153" s="45">
        <v>5018.0</v>
      </c>
      <c r="G153" s="36">
        <v>40738.0</v>
      </c>
      <c r="H153" s="34">
        <v>0.718083802229</v>
      </c>
      <c r="I153" s="36">
        <v>41605.0</v>
      </c>
      <c r="J153" t="str">
        <f t="shared" si="8"/>
        <v>2011-07</v>
      </c>
      <c r="K153" s="44" t="str">
        <f t="shared" si="9"/>
        <v>2013-11</v>
      </c>
      <c r="L153" s="46">
        <v>40995.0</v>
      </c>
      <c r="M153" s="4">
        <v>0.58177387243</v>
      </c>
      <c r="N153" s="36">
        <v>41670.0</v>
      </c>
      <c r="O153" t="str">
        <f t="shared" si="10"/>
        <v>2012-03</v>
      </c>
      <c r="P153" t="str">
        <f t="shared" si="11"/>
        <v>2014-01</v>
      </c>
      <c r="Q153" s="36">
        <v>41843.0</v>
      </c>
      <c r="R153" s="4">
        <v>0.755274143762</v>
      </c>
      <c r="S153" s="36">
        <v>42549.0</v>
      </c>
      <c r="T153" t="str">
        <f t="shared" si="12"/>
        <v>2014-07</v>
      </c>
      <c r="U153" t="str">
        <f t="shared" si="13"/>
        <v>2016-06</v>
      </c>
      <c r="AB153" s="36">
        <v>40016.0</v>
      </c>
      <c r="AC153" s="4">
        <v>0.814450575112</v>
      </c>
      <c r="AD153" s="47">
        <v>40994.0</v>
      </c>
      <c r="AE153" t="str">
        <f t="shared" si="14"/>
        <v>2009-07</v>
      </c>
      <c r="AF153" t="str">
        <f t="shared" si="15"/>
        <v>2012-03</v>
      </c>
      <c r="AG153" s="36">
        <v>41035.0</v>
      </c>
      <c r="AH153" s="4">
        <v>0.577465323119</v>
      </c>
      <c r="AI153" s="47">
        <v>42445.0</v>
      </c>
      <c r="AJ153" s="48" t="str">
        <f t="shared" si="16"/>
        <v>2012-05</v>
      </c>
      <c r="AK153" s="49" t="str">
        <f t="shared" si="17"/>
        <v>2016-03</v>
      </c>
      <c r="AL153" s="36">
        <v>40655.0</v>
      </c>
      <c r="AM153" s="4">
        <v>0.752522238931</v>
      </c>
      <c r="AN153" s="47">
        <v>41591.0</v>
      </c>
      <c r="AO153" s="49" t="str">
        <f t="shared" si="18"/>
        <v>2011-04</v>
      </c>
      <c r="AP153" t="str">
        <f t="shared" si="19"/>
        <v>2013-11</v>
      </c>
    </row>
    <row r="154">
      <c r="A154" s="36">
        <v>40193.0</v>
      </c>
      <c r="B154" s="34">
        <v>0.811427860926</v>
      </c>
      <c r="C154" s="36">
        <v>40499.0</v>
      </c>
      <c r="D154" t="str">
        <f t="shared" si="6"/>
        <v>2010-01</v>
      </c>
      <c r="E154" s="44" t="str">
        <f t="shared" si="7"/>
        <v>2010-11</v>
      </c>
      <c r="F154" s="45">
        <v>4946.0</v>
      </c>
      <c r="G154" s="36">
        <v>40739.0</v>
      </c>
      <c r="H154" s="34">
        <v>0.732523042361</v>
      </c>
      <c r="I154" s="36">
        <v>41614.0</v>
      </c>
      <c r="J154" t="str">
        <f t="shared" si="8"/>
        <v>2011-07</v>
      </c>
      <c r="K154" s="44" t="str">
        <f t="shared" si="9"/>
        <v>2013-12</v>
      </c>
      <c r="L154" s="46">
        <v>40996.0</v>
      </c>
      <c r="M154" s="4">
        <v>0.702190112785</v>
      </c>
      <c r="N154" s="36">
        <v>41674.0</v>
      </c>
      <c r="O154" t="str">
        <f t="shared" si="10"/>
        <v>2012-03</v>
      </c>
      <c r="P154" t="str">
        <f t="shared" si="11"/>
        <v>2014-02</v>
      </c>
      <c r="Q154" s="36">
        <v>41848.0</v>
      </c>
      <c r="R154" s="4">
        <v>0.726851841687</v>
      </c>
      <c r="S154" s="36">
        <v>42549.0</v>
      </c>
      <c r="T154" t="str">
        <f t="shared" si="12"/>
        <v>2014-07</v>
      </c>
      <c r="U154" t="str">
        <f t="shared" si="13"/>
        <v>2016-06</v>
      </c>
      <c r="AB154" s="36">
        <v>40022.0</v>
      </c>
      <c r="AC154" s="4">
        <v>0.731367075626</v>
      </c>
      <c r="AD154" s="47">
        <v>41029.0</v>
      </c>
      <c r="AE154" t="str">
        <f t="shared" si="14"/>
        <v>2009-07</v>
      </c>
      <c r="AF154" t="str">
        <f t="shared" si="15"/>
        <v>2012-04</v>
      </c>
      <c r="AG154" s="36">
        <v>41036.0</v>
      </c>
      <c r="AH154" s="4">
        <v>0.643852427613</v>
      </c>
      <c r="AI154" s="47">
        <v>42451.0</v>
      </c>
      <c r="AJ154" s="48" t="str">
        <f t="shared" si="16"/>
        <v>2012-05</v>
      </c>
      <c r="AK154" s="49" t="str">
        <f t="shared" si="17"/>
        <v>2016-03</v>
      </c>
      <c r="AL154" s="36">
        <v>40656.0</v>
      </c>
      <c r="AM154" s="4">
        <v>0.779152443734</v>
      </c>
      <c r="AN154" s="47">
        <v>41610.0</v>
      </c>
      <c r="AO154" s="49" t="str">
        <f t="shared" si="18"/>
        <v>2011-04</v>
      </c>
      <c r="AP154" t="str">
        <f t="shared" si="19"/>
        <v>2013-12</v>
      </c>
    </row>
    <row r="155">
      <c r="A155" s="36">
        <v>40194.0</v>
      </c>
      <c r="B155" s="34">
        <v>0.782204948132</v>
      </c>
      <c r="C155" s="36">
        <v>40543.0</v>
      </c>
      <c r="D155" t="str">
        <f t="shared" si="6"/>
        <v>2010-01</v>
      </c>
      <c r="E155" s="44" t="str">
        <f t="shared" si="7"/>
        <v>2010-12</v>
      </c>
      <c r="F155" s="45">
        <v>4911.0</v>
      </c>
      <c r="G155" s="36">
        <v>40740.0</v>
      </c>
      <c r="H155" s="34">
        <v>0.0627918020593</v>
      </c>
      <c r="I155" s="36">
        <v>41621.0</v>
      </c>
      <c r="J155" t="str">
        <f t="shared" si="8"/>
        <v>2011-07</v>
      </c>
      <c r="K155" s="44" t="str">
        <f t="shared" si="9"/>
        <v>2013-12</v>
      </c>
      <c r="L155" s="46">
        <v>41000.0</v>
      </c>
      <c r="M155" s="4">
        <v>0.608509323569</v>
      </c>
      <c r="N155" s="36">
        <v>41677.0</v>
      </c>
      <c r="O155" t="str">
        <f t="shared" si="10"/>
        <v>2012-04</v>
      </c>
      <c r="P155" t="str">
        <f t="shared" si="11"/>
        <v>2014-02</v>
      </c>
      <c r="Q155" s="36">
        <v>41849.0</v>
      </c>
      <c r="R155" s="4">
        <v>0.725090562435</v>
      </c>
      <c r="S155" s="36">
        <v>42636.0</v>
      </c>
      <c r="T155" t="str">
        <f t="shared" si="12"/>
        <v>2014-07</v>
      </c>
      <c r="U155" t="str">
        <f t="shared" si="13"/>
        <v>2016-09</v>
      </c>
      <c r="AB155" s="36">
        <v>40023.0</v>
      </c>
      <c r="AC155" s="4">
        <v>0.583870386419</v>
      </c>
      <c r="AD155" s="47">
        <v>41052.0</v>
      </c>
      <c r="AE155" t="str">
        <f t="shared" si="14"/>
        <v>2009-07</v>
      </c>
      <c r="AF155" t="str">
        <f t="shared" si="15"/>
        <v>2012-05</v>
      </c>
      <c r="AG155" s="36">
        <v>41037.0</v>
      </c>
      <c r="AH155" s="4">
        <v>0.63543093763</v>
      </c>
      <c r="AI155" s="47">
        <v>42454.0</v>
      </c>
      <c r="AJ155" s="48" t="str">
        <f t="shared" si="16"/>
        <v>2012-05</v>
      </c>
      <c r="AK155" s="49" t="str">
        <f t="shared" si="17"/>
        <v>2016-03</v>
      </c>
      <c r="AL155" s="36">
        <v>40662.0</v>
      </c>
      <c r="AM155" s="4">
        <v>0.824230827688</v>
      </c>
      <c r="AN155" s="47">
        <v>41428.0</v>
      </c>
      <c r="AO155" s="49" t="str">
        <f t="shared" si="18"/>
        <v>2011-04</v>
      </c>
      <c r="AP155" t="str">
        <f t="shared" si="19"/>
        <v>2013-06</v>
      </c>
    </row>
    <row r="156">
      <c r="A156" s="36">
        <v>40195.0</v>
      </c>
      <c r="B156" s="34">
        <v>0.650122263148</v>
      </c>
      <c r="C156" s="36">
        <v>40474.0</v>
      </c>
      <c r="D156" t="str">
        <f t="shared" si="6"/>
        <v>2010-01</v>
      </c>
      <c r="E156" s="44" t="str">
        <f t="shared" si="7"/>
        <v>2010-10</v>
      </c>
      <c r="F156" s="45">
        <v>4853.0</v>
      </c>
      <c r="G156" s="36">
        <v>40741.0</v>
      </c>
      <c r="H156" s="34">
        <v>0.634550134286</v>
      </c>
      <c r="I156" s="36">
        <v>41627.0</v>
      </c>
      <c r="J156" t="str">
        <f t="shared" si="8"/>
        <v>2011-07</v>
      </c>
      <c r="K156" s="44" t="str">
        <f t="shared" si="9"/>
        <v>2013-12</v>
      </c>
      <c r="L156" s="46">
        <v>41001.0</v>
      </c>
      <c r="M156" s="4">
        <v>0.527596048177</v>
      </c>
      <c r="N156" s="36">
        <v>41684.0</v>
      </c>
      <c r="O156" t="str">
        <f t="shared" si="10"/>
        <v>2012-04</v>
      </c>
      <c r="P156" t="str">
        <f t="shared" si="11"/>
        <v>2014-02</v>
      </c>
      <c r="Q156" s="36">
        <v>41850.0</v>
      </c>
      <c r="R156" s="4">
        <v>0.560248165207</v>
      </c>
      <c r="S156" s="36">
        <v>42636.0</v>
      </c>
      <c r="T156" t="str">
        <f t="shared" si="12"/>
        <v>2014-07</v>
      </c>
      <c r="U156" t="str">
        <f t="shared" si="13"/>
        <v>2016-09</v>
      </c>
      <c r="AB156" s="36">
        <v>40029.0</v>
      </c>
      <c r="AC156" s="4">
        <v>0.726483581879</v>
      </c>
      <c r="AD156" s="47">
        <v>41091.0</v>
      </c>
      <c r="AE156" t="str">
        <f t="shared" si="14"/>
        <v>2009-08</v>
      </c>
      <c r="AF156" t="str">
        <f t="shared" si="15"/>
        <v>2012-07</v>
      </c>
      <c r="AG156" s="36">
        <v>41040.0</v>
      </c>
      <c r="AH156" s="4">
        <v>0.755458403389</v>
      </c>
      <c r="AI156" s="47">
        <v>42461.0</v>
      </c>
      <c r="AJ156" s="48" t="str">
        <f t="shared" si="16"/>
        <v>2012-05</v>
      </c>
      <c r="AK156" s="49" t="str">
        <f t="shared" si="17"/>
        <v>2016-04</v>
      </c>
      <c r="AL156" s="36">
        <v>40663.0</v>
      </c>
      <c r="AM156" s="4">
        <v>0.784086981462</v>
      </c>
      <c r="AN156" s="47">
        <v>41436.0</v>
      </c>
      <c r="AO156" s="49" t="str">
        <f t="shared" si="18"/>
        <v>2011-04</v>
      </c>
      <c r="AP156" t="str">
        <f t="shared" si="19"/>
        <v>2013-06</v>
      </c>
    </row>
    <row r="157">
      <c r="A157" s="36">
        <v>40199.0</v>
      </c>
      <c r="B157" s="34">
        <v>0.652037359013</v>
      </c>
      <c r="C157" s="36">
        <v>40499.0</v>
      </c>
      <c r="D157" t="str">
        <f t="shared" si="6"/>
        <v>2010-01</v>
      </c>
      <c r="E157" s="44" t="str">
        <f t="shared" si="7"/>
        <v>2010-11</v>
      </c>
      <c r="F157" s="45">
        <v>4812.0</v>
      </c>
      <c r="G157" s="36">
        <v>40745.0</v>
      </c>
      <c r="H157" s="34">
        <v>0.791620983543</v>
      </c>
      <c r="I157" s="36">
        <v>41642.0</v>
      </c>
      <c r="J157" t="str">
        <f t="shared" si="8"/>
        <v>2011-07</v>
      </c>
      <c r="K157" s="44" t="str">
        <f t="shared" si="9"/>
        <v>2014-01</v>
      </c>
      <c r="L157" s="46">
        <v>41002.0</v>
      </c>
      <c r="M157" s="4">
        <v>0.758319002461</v>
      </c>
      <c r="N157" s="36">
        <v>41684.0</v>
      </c>
      <c r="O157" t="str">
        <f t="shared" si="10"/>
        <v>2012-04</v>
      </c>
      <c r="P157" t="str">
        <f t="shared" si="11"/>
        <v>2014-02</v>
      </c>
      <c r="Q157" s="36">
        <v>41855.0</v>
      </c>
      <c r="R157" s="4">
        <v>0.639398412669</v>
      </c>
      <c r="S157" s="36">
        <v>42640.0</v>
      </c>
      <c r="T157" t="str">
        <f t="shared" si="12"/>
        <v>2014-08</v>
      </c>
      <c r="U157" t="str">
        <f t="shared" si="13"/>
        <v>2016-09</v>
      </c>
      <c r="AB157" s="36">
        <v>40030.0</v>
      </c>
      <c r="AC157" s="4">
        <v>0.737505729811</v>
      </c>
      <c r="AD157" s="47">
        <v>41104.0</v>
      </c>
      <c r="AE157" t="str">
        <f t="shared" si="14"/>
        <v>2009-08</v>
      </c>
      <c r="AF157" t="str">
        <f t="shared" si="15"/>
        <v>2012-07</v>
      </c>
      <c r="AG157" s="36">
        <v>41041.0</v>
      </c>
      <c r="AH157" s="4">
        <v>0.788827354162</v>
      </c>
      <c r="AI157" s="47">
        <v>42487.0</v>
      </c>
      <c r="AJ157" s="48" t="str">
        <f t="shared" si="16"/>
        <v>2012-05</v>
      </c>
      <c r="AK157" s="49" t="str">
        <f t="shared" si="17"/>
        <v>2016-04</v>
      </c>
      <c r="AL157" s="36">
        <v>40669.0</v>
      </c>
      <c r="AM157" s="4">
        <v>0.777843098411</v>
      </c>
      <c r="AN157" s="47">
        <v>41472.0</v>
      </c>
      <c r="AO157" s="49" t="str">
        <f t="shared" si="18"/>
        <v>2011-05</v>
      </c>
      <c r="AP157" t="str">
        <f t="shared" si="19"/>
        <v>2013-07</v>
      </c>
    </row>
    <row r="158">
      <c r="A158" s="36">
        <v>40200.0</v>
      </c>
      <c r="B158" s="34">
        <v>0.714997751079</v>
      </c>
      <c r="C158" s="36">
        <v>40529.0</v>
      </c>
      <c r="D158" t="str">
        <f t="shared" si="6"/>
        <v>2010-01</v>
      </c>
      <c r="E158" s="44" t="str">
        <f t="shared" si="7"/>
        <v>2010-12</v>
      </c>
      <c r="F158" s="45">
        <v>4751.0</v>
      </c>
      <c r="G158" s="36">
        <v>40746.0</v>
      </c>
      <c r="H158" s="34">
        <v>0.60702049141</v>
      </c>
      <c r="I158" s="36">
        <v>41649.0</v>
      </c>
      <c r="J158" t="str">
        <f t="shared" si="8"/>
        <v>2011-07</v>
      </c>
      <c r="K158" s="44" t="str">
        <f t="shared" si="9"/>
        <v>2014-01</v>
      </c>
      <c r="L158" s="46">
        <v>41003.0</v>
      </c>
      <c r="M158" s="4">
        <v>0.572941790696</v>
      </c>
      <c r="N158" s="36">
        <v>41694.0</v>
      </c>
      <c r="O158" t="str">
        <f t="shared" si="10"/>
        <v>2012-04</v>
      </c>
      <c r="P158" t="str">
        <f t="shared" si="11"/>
        <v>2014-02</v>
      </c>
      <c r="Q158" s="36">
        <v>41856.0</v>
      </c>
      <c r="R158" s="4">
        <v>0.527740700142</v>
      </c>
      <c r="S158" s="36">
        <v>42640.0</v>
      </c>
      <c r="T158" t="str">
        <f t="shared" si="12"/>
        <v>2014-08</v>
      </c>
      <c r="U158" t="str">
        <f t="shared" si="13"/>
        <v>2016-09</v>
      </c>
      <c r="AB158" s="36">
        <v>40036.0</v>
      </c>
      <c r="AC158" s="4">
        <v>0.736928471682</v>
      </c>
      <c r="AD158" s="47">
        <v>41052.0</v>
      </c>
      <c r="AE158" t="str">
        <f t="shared" si="14"/>
        <v>2009-08</v>
      </c>
      <c r="AF158" t="str">
        <f t="shared" si="15"/>
        <v>2012-05</v>
      </c>
      <c r="AG158" s="36">
        <v>41042.0</v>
      </c>
      <c r="AH158" s="4">
        <v>0.745635855328</v>
      </c>
      <c r="AI158" s="47">
        <v>42605.0</v>
      </c>
      <c r="AJ158" s="48" t="str">
        <f t="shared" si="16"/>
        <v>2012-05</v>
      </c>
      <c r="AK158" s="49" t="str">
        <f t="shared" si="17"/>
        <v>2016-08</v>
      </c>
      <c r="AL158" s="36">
        <v>40670.0</v>
      </c>
      <c r="AM158" s="4">
        <v>0.717436704032</v>
      </c>
      <c r="AN158" s="47">
        <v>41493.0</v>
      </c>
      <c r="AO158" s="49" t="str">
        <f t="shared" si="18"/>
        <v>2011-05</v>
      </c>
      <c r="AP158" t="str">
        <f t="shared" si="19"/>
        <v>2013-08</v>
      </c>
    </row>
    <row r="159">
      <c r="A159" s="36">
        <v>40201.0</v>
      </c>
      <c r="B159" s="34">
        <v>0.723098853341</v>
      </c>
      <c r="C159" s="36">
        <v>40546.0</v>
      </c>
      <c r="D159" t="str">
        <f t="shared" si="6"/>
        <v>2010-01</v>
      </c>
      <c r="E159" s="44" t="str">
        <f t="shared" si="7"/>
        <v>2011-01</v>
      </c>
      <c r="F159" s="45">
        <v>4718.0</v>
      </c>
      <c r="G159" s="36">
        <v>40753.0</v>
      </c>
      <c r="H159" s="34">
        <v>0.489894662648</v>
      </c>
      <c r="I159" s="36">
        <v>41654.0</v>
      </c>
      <c r="J159" t="str">
        <f t="shared" si="8"/>
        <v>2011-07</v>
      </c>
      <c r="K159" s="44" t="str">
        <f t="shared" si="9"/>
        <v>2014-01</v>
      </c>
      <c r="L159" s="46">
        <v>41004.0</v>
      </c>
      <c r="M159" s="4">
        <v>0.533815146927</v>
      </c>
      <c r="N159" s="36">
        <v>41699.0</v>
      </c>
      <c r="O159" t="str">
        <f t="shared" si="10"/>
        <v>2012-04</v>
      </c>
      <c r="P159" t="str">
        <f t="shared" si="11"/>
        <v>2014-03</v>
      </c>
      <c r="Q159" s="36">
        <v>41857.0</v>
      </c>
      <c r="R159" s="4">
        <v>0.788065458775</v>
      </c>
      <c r="S159" s="36">
        <v>42531.0</v>
      </c>
      <c r="T159" t="str">
        <f t="shared" si="12"/>
        <v>2014-08</v>
      </c>
      <c r="U159" t="str">
        <f t="shared" si="13"/>
        <v>2016-06</v>
      </c>
      <c r="AB159" s="36">
        <v>40037.0</v>
      </c>
      <c r="AC159" s="4">
        <v>0.593031517091</v>
      </c>
      <c r="AD159" s="47">
        <v>41080.0</v>
      </c>
      <c r="AE159" t="str">
        <f t="shared" si="14"/>
        <v>2009-08</v>
      </c>
      <c r="AF159" t="str">
        <f t="shared" si="15"/>
        <v>2012-06</v>
      </c>
      <c r="AG159" s="36">
        <v>41043.0</v>
      </c>
      <c r="AH159" s="4">
        <v>0.808012022553</v>
      </c>
      <c r="AI159" s="47">
        <v>42633.0</v>
      </c>
      <c r="AJ159" s="48" t="str">
        <f t="shared" si="16"/>
        <v>2012-05</v>
      </c>
      <c r="AK159" s="49" t="str">
        <f t="shared" si="17"/>
        <v>2016-09</v>
      </c>
      <c r="AL159" s="36">
        <v>40676.0</v>
      </c>
      <c r="AM159" s="4">
        <v>0.744267824891</v>
      </c>
      <c r="AN159" s="47">
        <v>41513.0</v>
      </c>
      <c r="AO159" s="49" t="str">
        <f t="shared" si="18"/>
        <v>2011-05</v>
      </c>
      <c r="AP159" t="str">
        <f t="shared" si="19"/>
        <v>2013-08</v>
      </c>
    </row>
    <row r="160">
      <c r="A160" s="36">
        <v>40202.0</v>
      </c>
      <c r="B160" s="34">
        <v>0.268661264487</v>
      </c>
      <c r="C160" s="36">
        <v>40551.0</v>
      </c>
      <c r="D160" t="str">
        <f t="shared" si="6"/>
        <v>2010-01</v>
      </c>
      <c r="E160" s="44" t="str">
        <f t="shared" si="7"/>
        <v>2011-01</v>
      </c>
      <c r="F160" s="45">
        <v>4670.0</v>
      </c>
      <c r="G160" s="36">
        <v>40754.0</v>
      </c>
      <c r="H160" s="34">
        <v>0.769054313527</v>
      </c>
      <c r="I160" s="36">
        <v>41663.0</v>
      </c>
      <c r="J160" t="str">
        <f t="shared" si="8"/>
        <v>2011-07</v>
      </c>
      <c r="K160" s="44" t="str">
        <f t="shared" si="9"/>
        <v>2014-01</v>
      </c>
      <c r="L160" s="46">
        <v>41008.0</v>
      </c>
      <c r="M160" s="4">
        <v>0.843165859609</v>
      </c>
      <c r="N160" s="36">
        <v>41709.0</v>
      </c>
      <c r="O160" t="str">
        <f t="shared" si="10"/>
        <v>2012-04</v>
      </c>
      <c r="P160" t="str">
        <f t="shared" si="11"/>
        <v>2014-03</v>
      </c>
      <c r="Q160" s="36">
        <v>41858.0</v>
      </c>
      <c r="R160" s="4">
        <v>0.738334326887</v>
      </c>
      <c r="S160" s="36">
        <v>42534.0</v>
      </c>
      <c r="T160" t="str">
        <f t="shared" si="12"/>
        <v>2014-08</v>
      </c>
      <c r="U160" t="str">
        <f t="shared" si="13"/>
        <v>2016-06</v>
      </c>
      <c r="AB160" s="36">
        <v>40043.0</v>
      </c>
      <c r="AC160" s="4">
        <v>0.764242695704</v>
      </c>
      <c r="AD160" s="47">
        <v>41029.0</v>
      </c>
      <c r="AE160" t="str">
        <f t="shared" si="14"/>
        <v>2009-08</v>
      </c>
      <c r="AF160" t="str">
        <f t="shared" si="15"/>
        <v>2012-04</v>
      </c>
      <c r="AG160" s="36">
        <v>41049.0</v>
      </c>
      <c r="AH160" s="4">
        <v>0.824337557776</v>
      </c>
      <c r="AI160" s="47">
        <v>42646.0</v>
      </c>
      <c r="AJ160" s="48" t="str">
        <f t="shared" si="16"/>
        <v>2012-05</v>
      </c>
      <c r="AK160" s="49" t="str">
        <f t="shared" si="17"/>
        <v>2016-10</v>
      </c>
      <c r="AL160" s="36">
        <v>40677.0</v>
      </c>
      <c r="AM160" s="4">
        <v>0.91042024182</v>
      </c>
      <c r="AN160" s="47">
        <v>41544.0</v>
      </c>
      <c r="AO160" s="49" t="str">
        <f t="shared" si="18"/>
        <v>2011-05</v>
      </c>
      <c r="AP160" t="str">
        <f t="shared" si="19"/>
        <v>2013-09</v>
      </c>
    </row>
    <row r="161">
      <c r="A161" s="36">
        <v>40206.0</v>
      </c>
      <c r="B161" s="34">
        <v>0.793941533064</v>
      </c>
      <c r="C161" s="36">
        <v>40559.0</v>
      </c>
      <c r="D161" t="str">
        <f t="shared" si="6"/>
        <v>2010-01</v>
      </c>
      <c r="E161" s="44" t="str">
        <f t="shared" si="7"/>
        <v>2011-01</v>
      </c>
      <c r="F161" s="45">
        <v>4643.0</v>
      </c>
      <c r="G161" s="36">
        <v>40755.0</v>
      </c>
      <c r="H161" s="34">
        <v>0.767241633435</v>
      </c>
      <c r="I161" s="36">
        <v>41673.0</v>
      </c>
      <c r="J161" t="str">
        <f t="shared" si="8"/>
        <v>2011-07</v>
      </c>
      <c r="K161" s="44" t="str">
        <f t="shared" si="9"/>
        <v>2014-02</v>
      </c>
      <c r="L161" s="46">
        <v>41009.0</v>
      </c>
      <c r="M161" s="4">
        <v>0.702617642485</v>
      </c>
      <c r="N161" s="36">
        <v>41728.0</v>
      </c>
      <c r="O161" t="str">
        <f t="shared" si="10"/>
        <v>2012-04</v>
      </c>
      <c r="P161" t="str">
        <f t="shared" si="11"/>
        <v>2014-03</v>
      </c>
      <c r="Q161" s="36">
        <v>41864.0</v>
      </c>
      <c r="R161" s="4">
        <v>0.551392640387</v>
      </c>
      <c r="S161" s="36">
        <v>42536.0</v>
      </c>
      <c r="T161" t="str">
        <f t="shared" si="12"/>
        <v>2014-08</v>
      </c>
      <c r="U161" t="str">
        <f t="shared" si="13"/>
        <v>2016-06</v>
      </c>
      <c r="AB161" s="36">
        <v>40044.0</v>
      </c>
      <c r="AC161" s="4">
        <v>0.247881947572</v>
      </c>
      <c r="AD161" s="47">
        <v>41091.0</v>
      </c>
      <c r="AE161" t="str">
        <f t="shared" si="14"/>
        <v>2009-08</v>
      </c>
      <c r="AF161" t="str">
        <f t="shared" si="15"/>
        <v>2012-07</v>
      </c>
      <c r="AG161" s="36">
        <v>41050.0</v>
      </c>
      <c r="AH161" s="4">
        <v>0.776542701421</v>
      </c>
      <c r="AI161" s="47">
        <v>42756.0</v>
      </c>
      <c r="AJ161" s="48" t="str">
        <f t="shared" si="16"/>
        <v>2012-05</v>
      </c>
      <c r="AK161" s="49" t="str">
        <f t="shared" si="17"/>
        <v>2017-01</v>
      </c>
      <c r="AL161" s="36">
        <v>40683.0</v>
      </c>
      <c r="AM161" s="4">
        <v>0.704608237978</v>
      </c>
      <c r="AN161" s="47">
        <v>41557.0</v>
      </c>
      <c r="AO161" s="49" t="str">
        <f t="shared" si="18"/>
        <v>2011-05</v>
      </c>
      <c r="AP161" t="str">
        <f t="shared" si="19"/>
        <v>2013-10</v>
      </c>
    </row>
    <row r="162">
      <c r="A162" s="36">
        <v>40207.0</v>
      </c>
      <c r="B162" s="34">
        <v>0.614850143771</v>
      </c>
      <c r="C162" s="36">
        <v>40565.0</v>
      </c>
      <c r="D162" t="str">
        <f t="shared" si="6"/>
        <v>2010-01</v>
      </c>
      <c r="E162" s="44" t="str">
        <f t="shared" si="7"/>
        <v>2011-01</v>
      </c>
      <c r="F162" s="45">
        <v>4606.0</v>
      </c>
      <c r="G162" s="36">
        <v>40761.0</v>
      </c>
      <c r="H162" s="34">
        <v>0.877764284818</v>
      </c>
      <c r="I162" s="36">
        <v>41677.0</v>
      </c>
      <c r="J162" t="str">
        <f t="shared" si="8"/>
        <v>2011-08</v>
      </c>
      <c r="K162" s="44" t="str">
        <f t="shared" si="9"/>
        <v>2014-02</v>
      </c>
      <c r="L162" s="46">
        <v>41010.0</v>
      </c>
      <c r="M162" s="4">
        <v>0.725217785654</v>
      </c>
      <c r="N162" s="36">
        <v>41752.0</v>
      </c>
      <c r="O162" t="str">
        <f t="shared" si="10"/>
        <v>2012-04</v>
      </c>
      <c r="P162" t="str">
        <f t="shared" si="11"/>
        <v>2014-04</v>
      </c>
      <c r="Q162" s="36">
        <v>41865.0</v>
      </c>
      <c r="R162" s="4">
        <v>0.533620420447</v>
      </c>
      <c r="S162" s="36">
        <v>42537.0</v>
      </c>
      <c r="T162" t="str">
        <f t="shared" si="12"/>
        <v>2014-08</v>
      </c>
      <c r="U162" t="str">
        <f t="shared" si="13"/>
        <v>2016-06</v>
      </c>
      <c r="AB162" s="36">
        <v>40050.0</v>
      </c>
      <c r="AC162" s="4">
        <v>0.707412198504</v>
      </c>
      <c r="AD162" s="47">
        <v>41104.0</v>
      </c>
      <c r="AE162" t="str">
        <f t="shared" si="14"/>
        <v>2009-08</v>
      </c>
      <c r="AF162" t="str">
        <f t="shared" si="15"/>
        <v>2012-07</v>
      </c>
      <c r="AG162" s="36">
        <v>41051.0</v>
      </c>
      <c r="AH162" s="4">
        <v>0.738031572089</v>
      </c>
      <c r="AI162" s="47">
        <v>42759.0</v>
      </c>
      <c r="AJ162" s="48" t="str">
        <f t="shared" si="16"/>
        <v>2012-05</v>
      </c>
      <c r="AK162" s="49" t="str">
        <f t="shared" si="17"/>
        <v>2017-01</v>
      </c>
      <c r="AL162" s="36">
        <v>40690.0</v>
      </c>
      <c r="AM162" s="4">
        <v>0.743351929424</v>
      </c>
      <c r="AN162" s="47">
        <v>41592.0</v>
      </c>
      <c r="AO162" s="49" t="str">
        <f t="shared" si="18"/>
        <v>2011-05</v>
      </c>
      <c r="AP162" t="str">
        <f t="shared" si="19"/>
        <v>2013-11</v>
      </c>
    </row>
    <row r="163">
      <c r="A163" s="36">
        <v>40208.0</v>
      </c>
      <c r="B163" s="34">
        <v>0.820887306329</v>
      </c>
      <c r="C163" s="36">
        <v>40571.0</v>
      </c>
      <c r="D163" t="str">
        <f t="shared" si="6"/>
        <v>2010-01</v>
      </c>
      <c r="E163" s="44" t="str">
        <f t="shared" si="7"/>
        <v>2011-01</v>
      </c>
      <c r="F163" s="45">
        <v>4570.0</v>
      </c>
      <c r="G163" s="36">
        <v>40762.0</v>
      </c>
      <c r="H163" s="34">
        <v>0.49228115271</v>
      </c>
      <c r="I163" s="36">
        <v>41685.0</v>
      </c>
      <c r="J163" t="str">
        <f t="shared" si="8"/>
        <v>2011-08</v>
      </c>
      <c r="K163" s="44" t="str">
        <f t="shared" si="9"/>
        <v>2014-02</v>
      </c>
      <c r="L163" s="46">
        <v>41011.0</v>
      </c>
      <c r="M163" s="4">
        <v>0.754854818172</v>
      </c>
      <c r="N163" s="36">
        <v>41730.0</v>
      </c>
      <c r="O163" t="str">
        <f t="shared" si="10"/>
        <v>2012-04</v>
      </c>
      <c r="P163" t="str">
        <f t="shared" si="11"/>
        <v>2014-04</v>
      </c>
      <c r="Q163" s="36">
        <v>41866.0</v>
      </c>
      <c r="R163" s="4">
        <v>0.438081505221</v>
      </c>
      <c r="S163" s="36">
        <v>42538.0</v>
      </c>
      <c r="T163" t="str">
        <f t="shared" si="12"/>
        <v>2014-08</v>
      </c>
      <c r="U163" t="str">
        <f t="shared" si="13"/>
        <v>2016-06</v>
      </c>
      <c r="AB163" s="36">
        <v>40051.0</v>
      </c>
      <c r="AC163" s="4">
        <v>0.738382786738</v>
      </c>
      <c r="AD163" s="47">
        <v>41153.0</v>
      </c>
      <c r="AE163" t="str">
        <f t="shared" si="14"/>
        <v>2009-08</v>
      </c>
      <c r="AF163" t="str">
        <f t="shared" si="15"/>
        <v>2012-09</v>
      </c>
      <c r="AG163" s="36">
        <v>41057.0</v>
      </c>
      <c r="AH163" s="4">
        <v>0.734696586409</v>
      </c>
      <c r="AI163" s="47">
        <v>42760.0</v>
      </c>
      <c r="AJ163" s="48" t="str">
        <f t="shared" si="16"/>
        <v>2012-05</v>
      </c>
      <c r="AK163" s="49" t="str">
        <f t="shared" si="17"/>
        <v>2017-01</v>
      </c>
      <c r="AL163" s="36">
        <v>40691.0</v>
      </c>
      <c r="AM163" s="4">
        <v>0.786079963964</v>
      </c>
      <c r="AN163" s="47">
        <v>41624.0</v>
      </c>
      <c r="AO163" s="49" t="str">
        <f t="shared" si="18"/>
        <v>2011-05</v>
      </c>
      <c r="AP163" t="str">
        <f t="shared" si="19"/>
        <v>2013-12</v>
      </c>
    </row>
    <row r="164">
      <c r="A164" s="36">
        <v>40209.0</v>
      </c>
      <c r="B164" s="34">
        <v>0.672302274966</v>
      </c>
      <c r="C164" s="36">
        <v>40579.0</v>
      </c>
      <c r="D164" t="str">
        <f t="shared" si="6"/>
        <v>2010-01</v>
      </c>
      <c r="E164" s="44" t="str">
        <f t="shared" si="7"/>
        <v>2011-02</v>
      </c>
      <c r="F164" s="45">
        <v>4393.0</v>
      </c>
      <c r="G164" s="36">
        <v>40766.0</v>
      </c>
      <c r="H164" s="34">
        <v>0.815143410969</v>
      </c>
      <c r="I164" s="36">
        <v>41699.0</v>
      </c>
      <c r="J164" t="str">
        <f t="shared" si="8"/>
        <v>2011-08</v>
      </c>
      <c r="K164" s="44" t="str">
        <f t="shared" si="9"/>
        <v>2014-03</v>
      </c>
      <c r="L164" s="46">
        <v>41014.0</v>
      </c>
      <c r="M164" s="4">
        <v>0.724391447571</v>
      </c>
      <c r="N164" s="36">
        <v>41737.0</v>
      </c>
      <c r="O164" t="str">
        <f t="shared" si="10"/>
        <v>2012-04</v>
      </c>
      <c r="P164" t="str">
        <f t="shared" si="11"/>
        <v>2014-04</v>
      </c>
      <c r="Q164" s="36">
        <v>41869.0</v>
      </c>
      <c r="R164" s="4">
        <v>0.897918087367</v>
      </c>
      <c r="S164" s="36">
        <v>42543.0</v>
      </c>
      <c r="T164" t="str">
        <f t="shared" si="12"/>
        <v>2014-08</v>
      </c>
      <c r="U164" t="str">
        <f t="shared" si="13"/>
        <v>2016-06</v>
      </c>
      <c r="AB164" s="36">
        <v>40057.0</v>
      </c>
      <c r="AC164" s="4">
        <v>0.683627000011</v>
      </c>
      <c r="AD164" s="47">
        <v>41191.0</v>
      </c>
      <c r="AE164" t="str">
        <f t="shared" si="14"/>
        <v>2009-09</v>
      </c>
      <c r="AF164" t="str">
        <f t="shared" si="15"/>
        <v>2012-10</v>
      </c>
      <c r="AG164" s="36">
        <v>41058.0</v>
      </c>
      <c r="AH164" s="4">
        <v>0.508376520858</v>
      </c>
      <c r="AI164" s="47">
        <v>42769.0</v>
      </c>
      <c r="AJ164" s="48" t="str">
        <f t="shared" si="16"/>
        <v>2012-05</v>
      </c>
      <c r="AK164" s="49" t="str">
        <f t="shared" si="17"/>
        <v>2017-02</v>
      </c>
      <c r="AL164" s="36">
        <v>40697.0</v>
      </c>
      <c r="AM164" s="4">
        <v>0.767402969696</v>
      </c>
      <c r="AN164" s="47">
        <v>41644.0</v>
      </c>
      <c r="AO164" s="49" t="str">
        <f t="shared" si="18"/>
        <v>2011-06</v>
      </c>
      <c r="AP164" t="str">
        <f t="shared" si="19"/>
        <v>2014-01</v>
      </c>
    </row>
    <row r="165">
      <c r="A165" s="36">
        <v>40210.0</v>
      </c>
      <c r="B165" s="34">
        <v>0.628191849244</v>
      </c>
      <c r="C165" s="36">
        <v>40584.0</v>
      </c>
      <c r="D165" t="str">
        <f t="shared" si="6"/>
        <v>2010-02</v>
      </c>
      <c r="E165" s="44" t="str">
        <f t="shared" si="7"/>
        <v>2011-02</v>
      </c>
      <c r="F165" s="45">
        <v>4369.0</v>
      </c>
      <c r="G165" s="36">
        <v>40767.0</v>
      </c>
      <c r="H165" s="34">
        <v>0.519315704687</v>
      </c>
      <c r="I165" s="36">
        <v>41719.0</v>
      </c>
      <c r="J165" t="str">
        <f t="shared" si="8"/>
        <v>2011-08</v>
      </c>
      <c r="K165" s="44" t="str">
        <f t="shared" si="9"/>
        <v>2014-03</v>
      </c>
      <c r="L165" s="46">
        <v>41015.0</v>
      </c>
      <c r="M165" s="4">
        <v>0.642584433946</v>
      </c>
      <c r="N165" s="36">
        <v>41759.0</v>
      </c>
      <c r="O165" t="str">
        <f t="shared" si="10"/>
        <v>2012-04</v>
      </c>
      <c r="P165" t="str">
        <f t="shared" si="11"/>
        <v>2014-04</v>
      </c>
      <c r="Q165" s="36">
        <v>41870.0</v>
      </c>
      <c r="R165" s="4">
        <v>0.716968398098</v>
      </c>
      <c r="S165" s="36">
        <v>42549.0</v>
      </c>
      <c r="T165" t="str">
        <f t="shared" si="12"/>
        <v>2014-08</v>
      </c>
      <c r="U165" t="str">
        <f t="shared" si="13"/>
        <v>2016-06</v>
      </c>
      <c r="AB165" s="36">
        <v>40058.0</v>
      </c>
      <c r="AC165" s="4">
        <v>0.766752777444</v>
      </c>
      <c r="AD165" s="47">
        <v>41245.0</v>
      </c>
      <c r="AE165" t="str">
        <f t="shared" si="14"/>
        <v>2009-09</v>
      </c>
      <c r="AF165" t="str">
        <f t="shared" si="15"/>
        <v>2012-12</v>
      </c>
      <c r="AG165" s="36">
        <v>41063.0</v>
      </c>
      <c r="AH165" s="4">
        <v>0.782364808359</v>
      </c>
      <c r="AI165" s="47">
        <v>42797.0</v>
      </c>
      <c r="AJ165" s="48" t="str">
        <f t="shared" si="16"/>
        <v>2012-06</v>
      </c>
      <c r="AK165" s="49" t="str">
        <f t="shared" si="17"/>
        <v>2017-03</v>
      </c>
      <c r="AL165" s="36">
        <v>40698.0</v>
      </c>
      <c r="AM165" s="4">
        <v>0.767851210942</v>
      </c>
      <c r="AN165" s="47">
        <v>41682.0</v>
      </c>
      <c r="AO165" s="49" t="str">
        <f t="shared" si="18"/>
        <v>2011-06</v>
      </c>
      <c r="AP165" t="str">
        <f t="shared" si="19"/>
        <v>2014-02</v>
      </c>
    </row>
    <row r="166">
      <c r="A166" s="36">
        <v>40214.0</v>
      </c>
      <c r="B166" s="34">
        <v>0.770196111307</v>
      </c>
      <c r="C166" s="36">
        <v>40594.0</v>
      </c>
      <c r="D166" t="str">
        <f t="shared" si="6"/>
        <v>2010-02</v>
      </c>
      <c r="E166" s="44" t="str">
        <f t="shared" si="7"/>
        <v>2011-02</v>
      </c>
      <c r="F166" s="45">
        <v>4369.0</v>
      </c>
      <c r="G166" s="36">
        <v>40773.0</v>
      </c>
      <c r="H166" s="34">
        <v>0.352842955148</v>
      </c>
      <c r="I166" s="36">
        <v>41732.0</v>
      </c>
      <c r="J166" t="str">
        <f t="shared" si="8"/>
        <v>2011-08</v>
      </c>
      <c r="K166" s="44" t="str">
        <f t="shared" si="9"/>
        <v>2014-04</v>
      </c>
      <c r="L166" s="46">
        <v>41016.0</v>
      </c>
      <c r="M166" s="4">
        <v>0.569780134516</v>
      </c>
      <c r="N166" s="36">
        <v>41774.0</v>
      </c>
      <c r="O166" t="str">
        <f t="shared" si="10"/>
        <v>2012-04</v>
      </c>
      <c r="P166" t="str">
        <f t="shared" si="11"/>
        <v>2014-05</v>
      </c>
      <c r="Q166" s="36">
        <v>41871.0</v>
      </c>
      <c r="R166" s="4">
        <v>0.778261281203</v>
      </c>
      <c r="S166" s="36">
        <v>42549.0</v>
      </c>
      <c r="T166" t="str">
        <f t="shared" si="12"/>
        <v>2014-08</v>
      </c>
      <c r="U166" t="str">
        <f t="shared" si="13"/>
        <v>2016-06</v>
      </c>
      <c r="AB166" s="36">
        <v>40064.0</v>
      </c>
      <c r="AC166" s="4">
        <v>0.654967492668</v>
      </c>
      <c r="AD166" s="47">
        <v>41283.0</v>
      </c>
      <c r="AE166" t="str">
        <f t="shared" si="14"/>
        <v>2009-09</v>
      </c>
      <c r="AF166" t="str">
        <f t="shared" si="15"/>
        <v>2013-01</v>
      </c>
      <c r="AG166" s="36">
        <v>41064.0</v>
      </c>
      <c r="AH166" s="4">
        <v>0.790257808302</v>
      </c>
      <c r="AI166" s="47">
        <v>42811.0</v>
      </c>
      <c r="AJ166" s="48" t="str">
        <f t="shared" si="16"/>
        <v>2012-06</v>
      </c>
      <c r="AK166" s="49" t="str">
        <f t="shared" si="17"/>
        <v>2017-03</v>
      </c>
      <c r="AL166" s="36">
        <v>40704.0</v>
      </c>
      <c r="AM166" s="4">
        <v>0.736322830569</v>
      </c>
      <c r="AN166" s="47">
        <v>41697.0</v>
      </c>
      <c r="AO166" s="49" t="str">
        <f t="shared" si="18"/>
        <v>2011-06</v>
      </c>
      <c r="AP166" t="str">
        <f t="shared" si="19"/>
        <v>2014-02</v>
      </c>
    </row>
    <row r="167">
      <c r="A167" s="36">
        <v>40215.0</v>
      </c>
      <c r="B167" s="34">
        <v>0.697138956941</v>
      </c>
      <c r="C167" s="36">
        <v>40605.0</v>
      </c>
      <c r="D167" t="str">
        <f t="shared" si="6"/>
        <v>2010-02</v>
      </c>
      <c r="E167" s="44" t="str">
        <f t="shared" si="7"/>
        <v>2011-03</v>
      </c>
      <c r="F167" s="45">
        <v>4369.0</v>
      </c>
      <c r="G167" s="36">
        <v>40774.0</v>
      </c>
      <c r="H167" s="34">
        <v>0.676217675405</v>
      </c>
      <c r="I167" s="36">
        <v>41796.0</v>
      </c>
      <c r="J167" t="str">
        <f t="shared" si="8"/>
        <v>2011-08</v>
      </c>
      <c r="K167" s="44" t="str">
        <f t="shared" si="9"/>
        <v>2014-06</v>
      </c>
      <c r="L167" s="46">
        <v>41017.0</v>
      </c>
      <c r="M167" s="4">
        <v>0.774108361012</v>
      </c>
      <c r="N167" s="36">
        <v>41786.0</v>
      </c>
      <c r="O167" t="str">
        <f t="shared" si="10"/>
        <v>2012-04</v>
      </c>
      <c r="P167" t="str">
        <f t="shared" si="11"/>
        <v>2014-05</v>
      </c>
      <c r="Q167" s="36">
        <v>41872.0</v>
      </c>
      <c r="R167" s="4">
        <v>0.852887804614</v>
      </c>
      <c r="S167" s="36">
        <v>42558.0</v>
      </c>
      <c r="T167" t="str">
        <f t="shared" si="12"/>
        <v>2014-08</v>
      </c>
      <c r="U167" t="str">
        <f t="shared" si="13"/>
        <v>2016-07</v>
      </c>
      <c r="AB167" s="36">
        <v>40065.0</v>
      </c>
      <c r="AC167" s="4">
        <v>0.694709903603</v>
      </c>
      <c r="AD167" s="47">
        <v>41302.0</v>
      </c>
      <c r="AE167" t="str">
        <f t="shared" si="14"/>
        <v>2009-09</v>
      </c>
      <c r="AF167" t="str">
        <f t="shared" si="15"/>
        <v>2013-01</v>
      </c>
      <c r="AG167" s="36">
        <v>41065.0</v>
      </c>
      <c r="AH167" s="4">
        <v>0.831718133452</v>
      </c>
      <c r="AI167" s="47">
        <v>42845.0</v>
      </c>
      <c r="AJ167" s="48" t="str">
        <f t="shared" si="16"/>
        <v>2012-06</v>
      </c>
      <c r="AK167" s="49" t="str">
        <f t="shared" si="17"/>
        <v>2017-04</v>
      </c>
      <c r="AL167" s="36">
        <v>40711.0</v>
      </c>
      <c r="AM167" s="4">
        <v>0.781734885598</v>
      </c>
      <c r="AN167" s="47">
        <v>41732.0</v>
      </c>
      <c r="AO167" s="49" t="str">
        <f t="shared" si="18"/>
        <v>2011-06</v>
      </c>
      <c r="AP167" t="str">
        <f t="shared" si="19"/>
        <v>2014-04</v>
      </c>
    </row>
    <row r="168">
      <c r="A168" s="36">
        <v>40216.0</v>
      </c>
      <c r="B168" s="34">
        <v>0.740960039759</v>
      </c>
      <c r="C168" s="36">
        <v>40620.0</v>
      </c>
      <c r="D168" t="str">
        <f t="shared" si="6"/>
        <v>2010-02</v>
      </c>
      <c r="E168" s="44" t="str">
        <f t="shared" si="7"/>
        <v>2011-03</v>
      </c>
      <c r="F168" s="45">
        <v>4369.0</v>
      </c>
      <c r="G168" s="36">
        <v>40776.0</v>
      </c>
      <c r="H168" s="34">
        <v>0.837856422084</v>
      </c>
      <c r="I168" s="36">
        <v>41803.0</v>
      </c>
      <c r="J168" t="str">
        <f t="shared" si="8"/>
        <v>2011-08</v>
      </c>
      <c r="K168" s="44" t="str">
        <f t="shared" si="9"/>
        <v>2014-06</v>
      </c>
      <c r="L168" s="46">
        <v>41018.0</v>
      </c>
      <c r="M168" s="4">
        <v>0.834131549564</v>
      </c>
      <c r="N168" s="36">
        <v>41828.0</v>
      </c>
      <c r="O168" t="str">
        <f t="shared" si="10"/>
        <v>2012-04</v>
      </c>
      <c r="P168" t="str">
        <f t="shared" si="11"/>
        <v>2014-07</v>
      </c>
      <c r="Q168" s="36">
        <v>41877.0</v>
      </c>
      <c r="R168" s="4">
        <v>0.784355087792</v>
      </c>
      <c r="S168" s="36">
        <v>42568.0</v>
      </c>
      <c r="T168" t="str">
        <f t="shared" si="12"/>
        <v>2014-08</v>
      </c>
      <c r="U168" t="str">
        <f t="shared" si="13"/>
        <v>2016-07</v>
      </c>
      <c r="AB168" s="36">
        <v>40071.0</v>
      </c>
      <c r="AC168" s="4">
        <v>0.66153800376</v>
      </c>
      <c r="AD168" s="47">
        <v>41307.0</v>
      </c>
      <c r="AE168" t="str">
        <f t="shared" si="14"/>
        <v>2009-09</v>
      </c>
      <c r="AF168" t="str">
        <f t="shared" si="15"/>
        <v>2013-02</v>
      </c>
      <c r="AG168" s="36">
        <v>41070.0</v>
      </c>
      <c r="AH168" s="4">
        <v>0.726655974049</v>
      </c>
      <c r="AI168" s="47">
        <v>42853.0</v>
      </c>
      <c r="AJ168" s="48" t="str">
        <f t="shared" si="16"/>
        <v>2012-06</v>
      </c>
      <c r="AK168" s="49" t="str">
        <f t="shared" si="17"/>
        <v>2017-04</v>
      </c>
      <c r="AL168" s="36">
        <v>40718.0</v>
      </c>
      <c r="AM168" s="4">
        <v>0.718277768347</v>
      </c>
      <c r="AN168" s="47">
        <v>41756.0</v>
      </c>
      <c r="AO168" s="49" t="str">
        <f t="shared" si="18"/>
        <v>2011-06</v>
      </c>
      <c r="AP168" t="str">
        <f t="shared" si="19"/>
        <v>2014-04</v>
      </c>
    </row>
    <row r="169">
      <c r="A169" s="36">
        <v>40217.0</v>
      </c>
      <c r="B169" s="34">
        <v>0.947241175939</v>
      </c>
      <c r="C169" s="36">
        <v>40628.0</v>
      </c>
      <c r="D169" t="str">
        <f t="shared" si="6"/>
        <v>2010-02</v>
      </c>
      <c r="E169" s="44" t="str">
        <f t="shared" si="7"/>
        <v>2011-03</v>
      </c>
      <c r="F169" s="45">
        <v>4369.0</v>
      </c>
      <c r="G169" s="36">
        <v>40780.0</v>
      </c>
      <c r="H169" s="34">
        <v>0.694535618543</v>
      </c>
      <c r="I169" s="36">
        <v>41821.0</v>
      </c>
      <c r="J169" t="str">
        <f t="shared" si="8"/>
        <v>2011-08</v>
      </c>
      <c r="K169" s="44" t="str">
        <f t="shared" si="9"/>
        <v>2014-07</v>
      </c>
      <c r="L169" s="46">
        <v>41021.0</v>
      </c>
      <c r="M169" s="4">
        <v>0.794877864449</v>
      </c>
      <c r="N169" s="36">
        <v>41836.0</v>
      </c>
      <c r="O169" t="str">
        <f t="shared" si="10"/>
        <v>2012-04</v>
      </c>
      <c r="P169" t="str">
        <f t="shared" si="11"/>
        <v>2014-07</v>
      </c>
      <c r="Q169" s="36">
        <v>41879.0</v>
      </c>
      <c r="R169" s="4">
        <v>0.612428896437</v>
      </c>
      <c r="S169" s="36">
        <v>42575.0</v>
      </c>
      <c r="T169" t="str">
        <f t="shared" si="12"/>
        <v>2014-08</v>
      </c>
      <c r="U169" t="str">
        <f t="shared" si="13"/>
        <v>2016-07</v>
      </c>
      <c r="AB169" s="36">
        <v>40072.0</v>
      </c>
      <c r="AC169" s="4">
        <v>0.847053339024</v>
      </c>
      <c r="AD169" s="47">
        <v>41392.0</v>
      </c>
      <c r="AE169" t="str">
        <f t="shared" si="14"/>
        <v>2009-09</v>
      </c>
      <c r="AF169" t="str">
        <f t="shared" si="15"/>
        <v>2013-04</v>
      </c>
      <c r="AG169" s="36">
        <v>41071.0</v>
      </c>
      <c r="AH169" s="4">
        <v>0.678978953241</v>
      </c>
      <c r="AI169" s="47">
        <v>42866.0</v>
      </c>
      <c r="AJ169" s="48" t="str">
        <f t="shared" si="16"/>
        <v>2012-06</v>
      </c>
      <c r="AK169" s="49" t="str">
        <f t="shared" si="17"/>
        <v>2017-05</v>
      </c>
      <c r="AL169" s="36">
        <v>40725.0</v>
      </c>
      <c r="AM169" s="4">
        <v>0.720831896755</v>
      </c>
      <c r="AN169" s="47">
        <v>41781.0</v>
      </c>
      <c r="AO169" s="49" t="str">
        <f t="shared" si="18"/>
        <v>2011-07</v>
      </c>
      <c r="AP169" t="str">
        <f t="shared" si="19"/>
        <v>2014-05</v>
      </c>
    </row>
    <row r="170">
      <c r="A170" s="36">
        <v>40220.0</v>
      </c>
      <c r="B170" s="34">
        <v>0.647307760719</v>
      </c>
      <c r="C170" s="36">
        <v>40635.0</v>
      </c>
      <c r="D170" t="str">
        <f t="shared" si="6"/>
        <v>2010-02</v>
      </c>
      <c r="E170" s="44" t="str">
        <f t="shared" si="7"/>
        <v>2011-04</v>
      </c>
      <c r="F170" s="45">
        <v>4369.0</v>
      </c>
      <c r="G170" s="36">
        <v>40781.0</v>
      </c>
      <c r="H170" s="34">
        <v>0.796437701894</v>
      </c>
      <c r="I170" s="36">
        <v>41831.0</v>
      </c>
      <c r="J170" t="str">
        <f t="shared" si="8"/>
        <v>2011-08</v>
      </c>
      <c r="K170" s="44" t="str">
        <f t="shared" si="9"/>
        <v>2014-07</v>
      </c>
      <c r="L170" s="46">
        <v>41022.0</v>
      </c>
      <c r="M170" s="4">
        <v>0.823946250549</v>
      </c>
      <c r="N170" s="36">
        <v>41828.0</v>
      </c>
      <c r="O170" t="str">
        <f t="shared" si="10"/>
        <v>2012-04</v>
      </c>
      <c r="P170" t="str">
        <f t="shared" si="11"/>
        <v>2014-07</v>
      </c>
      <c r="Q170" s="36">
        <v>41885.0</v>
      </c>
      <c r="R170" s="4">
        <v>0.546481463998</v>
      </c>
      <c r="S170" s="36">
        <v>42577.0</v>
      </c>
      <c r="T170" t="str">
        <f t="shared" si="12"/>
        <v>2014-09</v>
      </c>
      <c r="U170" t="str">
        <f t="shared" si="13"/>
        <v>2016-07</v>
      </c>
      <c r="AB170" s="36">
        <v>40078.0</v>
      </c>
      <c r="AC170" s="4">
        <v>0.54929018822</v>
      </c>
      <c r="AD170" s="47">
        <v>41473.0</v>
      </c>
      <c r="AE170" t="str">
        <f t="shared" si="14"/>
        <v>2009-09</v>
      </c>
      <c r="AF170" t="str">
        <f t="shared" si="15"/>
        <v>2013-07</v>
      </c>
      <c r="AG170" s="36">
        <v>41076.0</v>
      </c>
      <c r="AH170" s="4">
        <v>0.62215251351</v>
      </c>
      <c r="AI170" s="47">
        <v>42920.0</v>
      </c>
      <c r="AJ170" s="48" t="str">
        <f t="shared" si="16"/>
        <v>2012-06</v>
      </c>
      <c r="AK170" s="49" t="str">
        <f t="shared" si="17"/>
        <v>2017-07</v>
      </c>
      <c r="AL170" s="36">
        <v>40726.0</v>
      </c>
      <c r="AM170" s="4">
        <v>0.820987095311</v>
      </c>
      <c r="AN170" s="47">
        <v>41781.0</v>
      </c>
      <c r="AO170" s="49" t="str">
        <f t="shared" si="18"/>
        <v>2011-07</v>
      </c>
      <c r="AP170" t="str">
        <f t="shared" si="19"/>
        <v>2014-05</v>
      </c>
    </row>
    <row r="171">
      <c r="A171" s="36">
        <v>40221.0</v>
      </c>
      <c r="B171" s="34">
        <v>0.730802290513</v>
      </c>
      <c r="C171" s="36">
        <v>40647.0</v>
      </c>
      <c r="D171" t="str">
        <f t="shared" si="6"/>
        <v>2010-02</v>
      </c>
      <c r="E171" s="44" t="str">
        <f t="shared" si="7"/>
        <v>2011-04</v>
      </c>
      <c r="F171" s="45">
        <v>4369.0</v>
      </c>
      <c r="G171" s="36">
        <v>40782.0</v>
      </c>
      <c r="H171" s="34">
        <v>0.719797513206</v>
      </c>
      <c r="I171" s="36">
        <v>41845.0</v>
      </c>
      <c r="J171" t="str">
        <f t="shared" si="8"/>
        <v>2011-08</v>
      </c>
      <c r="K171" s="44" t="str">
        <f t="shared" si="9"/>
        <v>2014-07</v>
      </c>
      <c r="L171" s="46">
        <v>41023.0</v>
      </c>
      <c r="M171" s="4">
        <v>0.735339898729</v>
      </c>
      <c r="N171" s="36">
        <v>41836.0</v>
      </c>
      <c r="O171" t="str">
        <f t="shared" si="10"/>
        <v>2012-04</v>
      </c>
      <c r="P171" t="str">
        <f t="shared" si="11"/>
        <v>2014-07</v>
      </c>
      <c r="Q171" s="36">
        <v>41890.0</v>
      </c>
      <c r="R171" s="4">
        <v>0.709940702093</v>
      </c>
      <c r="S171" s="36">
        <v>42578.0</v>
      </c>
      <c r="T171" t="str">
        <f t="shared" si="12"/>
        <v>2014-09</v>
      </c>
      <c r="U171" t="str">
        <f t="shared" si="13"/>
        <v>2016-07</v>
      </c>
      <c r="AB171" s="36">
        <v>40079.0</v>
      </c>
      <c r="AC171" s="4">
        <v>0.554570664896</v>
      </c>
      <c r="AD171" s="47">
        <v>41245.0</v>
      </c>
      <c r="AE171" t="str">
        <f t="shared" si="14"/>
        <v>2009-09</v>
      </c>
      <c r="AF171" t="str">
        <f t="shared" si="15"/>
        <v>2012-12</v>
      </c>
      <c r="AG171" s="36">
        <v>41077.0</v>
      </c>
      <c r="AH171" s="4">
        <v>0.701663793557</v>
      </c>
      <c r="AI171" s="47">
        <v>42977.0</v>
      </c>
      <c r="AJ171" s="48" t="str">
        <f t="shared" si="16"/>
        <v>2012-06</v>
      </c>
      <c r="AK171" s="49" t="str">
        <f t="shared" si="17"/>
        <v>2017-08</v>
      </c>
      <c r="AL171" s="36">
        <v>40732.0</v>
      </c>
      <c r="AM171" s="4">
        <v>0.652386611901</v>
      </c>
      <c r="AN171" s="47">
        <v>41790.0</v>
      </c>
      <c r="AO171" s="49" t="str">
        <f t="shared" si="18"/>
        <v>2011-07</v>
      </c>
      <c r="AP171" t="str">
        <f t="shared" si="19"/>
        <v>2014-05</v>
      </c>
    </row>
    <row r="172">
      <c r="A172" s="36">
        <v>40222.0</v>
      </c>
      <c r="B172" s="34">
        <v>0.583072862469</v>
      </c>
      <c r="C172" s="36">
        <v>40656.0</v>
      </c>
      <c r="D172" t="str">
        <f t="shared" si="6"/>
        <v>2010-02</v>
      </c>
      <c r="E172" s="44" t="str">
        <f t="shared" si="7"/>
        <v>2011-04</v>
      </c>
      <c r="F172" s="45">
        <v>4369.0</v>
      </c>
      <c r="G172" s="36">
        <v>40783.0</v>
      </c>
      <c r="H172" s="34">
        <v>0.62315280509</v>
      </c>
      <c r="I172" s="36">
        <v>41863.0</v>
      </c>
      <c r="J172" t="str">
        <f t="shared" si="8"/>
        <v>2011-08</v>
      </c>
      <c r="K172" s="44" t="str">
        <f t="shared" si="9"/>
        <v>2014-08</v>
      </c>
      <c r="L172" s="46">
        <v>41024.0</v>
      </c>
      <c r="M172" s="4">
        <v>0.704907631384</v>
      </c>
      <c r="N172" s="36">
        <v>41844.0</v>
      </c>
      <c r="O172" t="str">
        <f t="shared" si="10"/>
        <v>2012-04</v>
      </c>
      <c r="P172" t="str">
        <f t="shared" si="11"/>
        <v>2014-07</v>
      </c>
      <c r="Q172" s="36">
        <v>41891.0</v>
      </c>
      <c r="R172" s="4">
        <v>0.547821554121</v>
      </c>
      <c r="S172" s="36">
        <v>42583.0</v>
      </c>
      <c r="T172" t="str">
        <f t="shared" si="12"/>
        <v>2014-09</v>
      </c>
      <c r="U172" t="str">
        <f t="shared" si="13"/>
        <v>2016-08</v>
      </c>
      <c r="AB172" s="36">
        <v>40085.0</v>
      </c>
      <c r="AC172" s="4">
        <v>0.739921947257</v>
      </c>
      <c r="AD172" s="47">
        <v>41283.0</v>
      </c>
      <c r="AE172" t="str">
        <f t="shared" si="14"/>
        <v>2009-09</v>
      </c>
      <c r="AF172" t="str">
        <f t="shared" si="15"/>
        <v>2013-01</v>
      </c>
      <c r="AG172" s="36">
        <v>41078.0</v>
      </c>
      <c r="AH172" s="4">
        <v>0.59765453716</v>
      </c>
      <c r="AI172" s="47">
        <v>43060.0</v>
      </c>
      <c r="AJ172" s="48" t="str">
        <f t="shared" si="16"/>
        <v>2012-06</v>
      </c>
      <c r="AK172" s="49" t="str">
        <f t="shared" si="17"/>
        <v>2017-11</v>
      </c>
      <c r="AL172" s="36">
        <v>40733.0</v>
      </c>
      <c r="AM172" s="4">
        <v>0.689490627603</v>
      </c>
      <c r="AN172" s="47">
        <v>41827.0</v>
      </c>
      <c r="AO172" s="49" t="str">
        <f t="shared" si="18"/>
        <v>2011-07</v>
      </c>
      <c r="AP172" t="str">
        <f t="shared" si="19"/>
        <v>2014-07</v>
      </c>
    </row>
    <row r="173">
      <c r="A173" s="36">
        <v>40223.0</v>
      </c>
      <c r="B173" s="34">
        <v>0.671648467691</v>
      </c>
      <c r="C173" s="36">
        <v>40684.0</v>
      </c>
      <c r="D173" t="str">
        <f t="shared" si="6"/>
        <v>2010-02</v>
      </c>
      <c r="E173" s="44" t="str">
        <f t="shared" si="7"/>
        <v>2011-05</v>
      </c>
      <c r="F173" s="45">
        <v>4369.0</v>
      </c>
      <c r="G173" s="36">
        <v>40787.0</v>
      </c>
      <c r="H173" s="34">
        <v>0.662472826345</v>
      </c>
      <c r="I173" s="36">
        <v>41873.0</v>
      </c>
      <c r="J173" t="str">
        <f t="shared" si="8"/>
        <v>2011-09</v>
      </c>
      <c r="K173" s="44" t="str">
        <f t="shared" si="9"/>
        <v>2014-08</v>
      </c>
      <c r="L173" s="46">
        <v>41028.0</v>
      </c>
      <c r="M173" s="4">
        <v>0.382577509798</v>
      </c>
      <c r="N173" s="36">
        <v>41850.0</v>
      </c>
      <c r="O173" t="str">
        <f t="shared" si="10"/>
        <v>2012-04</v>
      </c>
      <c r="P173" t="str">
        <f t="shared" si="11"/>
        <v>2014-07</v>
      </c>
      <c r="Q173" s="36">
        <v>41892.0</v>
      </c>
      <c r="R173" s="4">
        <v>0.771900140307</v>
      </c>
      <c r="S173" s="36">
        <v>42587.0</v>
      </c>
      <c r="T173" t="str">
        <f t="shared" si="12"/>
        <v>2014-09</v>
      </c>
      <c r="U173" t="str">
        <f t="shared" si="13"/>
        <v>2016-08</v>
      </c>
      <c r="AB173" s="36">
        <v>40086.0</v>
      </c>
      <c r="AC173" s="4">
        <v>0.705049601809</v>
      </c>
      <c r="AD173" s="47">
        <v>41210.0</v>
      </c>
      <c r="AE173" t="str">
        <f t="shared" si="14"/>
        <v>2009-09</v>
      </c>
      <c r="AF173" t="str">
        <f t="shared" si="15"/>
        <v>2012-10</v>
      </c>
      <c r="AG173" s="36">
        <v>41079.0</v>
      </c>
      <c r="AH173" s="4">
        <v>0.862244488179</v>
      </c>
      <c r="AI173" s="47">
        <v>43103.0</v>
      </c>
      <c r="AJ173" s="48" t="str">
        <f t="shared" si="16"/>
        <v>2012-06</v>
      </c>
      <c r="AK173" s="49" t="str">
        <f t="shared" si="17"/>
        <v>2018-01</v>
      </c>
      <c r="AL173" s="36">
        <v>40739.0</v>
      </c>
      <c r="AM173" s="4">
        <v>0.773218134089</v>
      </c>
      <c r="AN173" s="47">
        <v>41835.0</v>
      </c>
      <c r="AO173" s="49" t="str">
        <f t="shared" si="18"/>
        <v>2011-07</v>
      </c>
      <c r="AP173" t="str">
        <f t="shared" si="19"/>
        <v>2014-07</v>
      </c>
    </row>
    <row r="174">
      <c r="A174" s="36">
        <v>40224.0</v>
      </c>
      <c r="B174" s="34">
        <v>0.0692621325797</v>
      </c>
      <c r="C174" s="36">
        <v>40723.0</v>
      </c>
      <c r="D174" t="str">
        <f t="shared" si="6"/>
        <v>2010-02</v>
      </c>
      <c r="E174" s="44" t="str">
        <f t="shared" si="7"/>
        <v>2011-06</v>
      </c>
      <c r="F174" s="45">
        <v>4369.0</v>
      </c>
      <c r="G174" s="36">
        <v>40788.0</v>
      </c>
      <c r="H174" s="34">
        <v>0.841771865944</v>
      </c>
      <c r="I174" s="36">
        <v>41891.0</v>
      </c>
      <c r="J174" t="str">
        <f t="shared" si="8"/>
        <v>2011-09</v>
      </c>
      <c r="K174" s="44" t="str">
        <f t="shared" si="9"/>
        <v>2014-09</v>
      </c>
      <c r="L174" s="46">
        <v>41029.0</v>
      </c>
      <c r="M174" s="4">
        <v>0.674481446072</v>
      </c>
      <c r="N174" s="36">
        <v>41861.0</v>
      </c>
      <c r="O174" t="str">
        <f t="shared" si="10"/>
        <v>2012-04</v>
      </c>
      <c r="P174" t="str">
        <f t="shared" si="11"/>
        <v>2014-08</v>
      </c>
      <c r="Q174" s="36">
        <v>41897.0</v>
      </c>
      <c r="R174" s="4">
        <v>0.890330447816</v>
      </c>
      <c r="S174" s="36">
        <v>42592.0</v>
      </c>
      <c r="T174" t="str">
        <f t="shared" si="12"/>
        <v>2014-09</v>
      </c>
      <c r="U174" t="str">
        <f t="shared" si="13"/>
        <v>2016-08</v>
      </c>
      <c r="AB174" s="36">
        <v>40092.0</v>
      </c>
      <c r="AC174" s="4">
        <v>0.660515784873</v>
      </c>
      <c r="AD174" s="47">
        <v>41302.0</v>
      </c>
      <c r="AE174" t="str">
        <f t="shared" si="14"/>
        <v>2009-10</v>
      </c>
      <c r="AF174" t="str">
        <f t="shared" si="15"/>
        <v>2013-01</v>
      </c>
      <c r="AG174" s="36">
        <v>41084.0</v>
      </c>
      <c r="AH174" s="4">
        <v>0.745397822599</v>
      </c>
      <c r="AI174" s="47">
        <v>43138.0</v>
      </c>
      <c r="AJ174" s="48" t="str">
        <f t="shared" si="16"/>
        <v>2012-06</v>
      </c>
      <c r="AK174" s="49" t="str">
        <f t="shared" si="17"/>
        <v>2018-02</v>
      </c>
      <c r="AL174" s="36">
        <v>40746.0</v>
      </c>
      <c r="AM174" s="4">
        <v>0.723048033136</v>
      </c>
      <c r="AN174" s="47">
        <v>41885.0</v>
      </c>
      <c r="AO174" s="49" t="str">
        <f t="shared" si="18"/>
        <v>2011-07</v>
      </c>
      <c r="AP174" t="str">
        <f t="shared" si="19"/>
        <v>2014-09</v>
      </c>
    </row>
    <row r="175">
      <c r="A175" s="36">
        <v>40228.0</v>
      </c>
      <c r="B175" s="34">
        <v>0.668932379169</v>
      </c>
      <c r="C175" s="36">
        <v>40744.0</v>
      </c>
      <c r="D175" t="str">
        <f t="shared" si="6"/>
        <v>2010-02</v>
      </c>
      <c r="E175" s="44" t="str">
        <f t="shared" si="7"/>
        <v>2011-07</v>
      </c>
      <c r="F175" s="45">
        <v>4369.0</v>
      </c>
      <c r="G175" s="36">
        <v>40789.0</v>
      </c>
      <c r="H175" s="34">
        <v>0.711825436765</v>
      </c>
      <c r="I175" s="36">
        <v>41898.0</v>
      </c>
      <c r="J175" t="str">
        <f t="shared" si="8"/>
        <v>2011-09</v>
      </c>
      <c r="K175" s="44" t="str">
        <f t="shared" si="9"/>
        <v>2014-09</v>
      </c>
      <c r="L175" s="46">
        <v>41030.0</v>
      </c>
      <c r="M175" s="4">
        <v>0.5904040522</v>
      </c>
      <c r="N175" s="36">
        <v>41871.0</v>
      </c>
      <c r="O175" t="str">
        <f t="shared" si="10"/>
        <v>2012-05</v>
      </c>
      <c r="P175" t="str">
        <f t="shared" si="11"/>
        <v>2014-08</v>
      </c>
      <c r="Q175" s="36">
        <v>41900.0</v>
      </c>
      <c r="R175" s="4">
        <v>0.633298333059</v>
      </c>
      <c r="S175" s="36">
        <v>42593.0</v>
      </c>
      <c r="T175" t="str">
        <f t="shared" si="12"/>
        <v>2014-09</v>
      </c>
      <c r="U175" t="str">
        <f t="shared" si="13"/>
        <v>2016-08</v>
      </c>
      <c r="AB175" s="36">
        <v>40093.0</v>
      </c>
      <c r="AC175" s="4">
        <v>0.814509561814</v>
      </c>
      <c r="AD175" s="47">
        <v>41336.0</v>
      </c>
      <c r="AE175" t="str">
        <f t="shared" si="14"/>
        <v>2009-10</v>
      </c>
      <c r="AF175" t="str">
        <f t="shared" si="15"/>
        <v>2013-03</v>
      </c>
      <c r="AG175" s="36">
        <v>41085.0</v>
      </c>
      <c r="AH175" s="4">
        <v>0.789243518289</v>
      </c>
      <c r="AI175" s="47">
        <v>43158.0</v>
      </c>
      <c r="AJ175" s="48" t="str">
        <f t="shared" si="16"/>
        <v>2012-06</v>
      </c>
      <c r="AK175" s="49" t="str">
        <f t="shared" si="17"/>
        <v>2018-02</v>
      </c>
      <c r="AL175" s="36">
        <v>40747.0</v>
      </c>
      <c r="AM175" s="4">
        <v>0.771068593036</v>
      </c>
      <c r="AN175" s="47">
        <v>41910.0</v>
      </c>
      <c r="AO175" s="49" t="str">
        <f t="shared" si="18"/>
        <v>2011-07</v>
      </c>
      <c r="AP175" t="str">
        <f t="shared" si="19"/>
        <v>2014-09</v>
      </c>
    </row>
    <row r="176">
      <c r="A176" s="36">
        <v>40229.0</v>
      </c>
      <c r="B176" s="34">
        <v>0.777786100903</v>
      </c>
      <c r="C176" s="36">
        <v>40773.0</v>
      </c>
      <c r="D176" t="str">
        <f t="shared" si="6"/>
        <v>2010-02</v>
      </c>
      <c r="E176" s="44" t="str">
        <f t="shared" si="7"/>
        <v>2011-08</v>
      </c>
      <c r="F176" s="45">
        <v>4369.0</v>
      </c>
      <c r="G176" s="36">
        <v>40790.0</v>
      </c>
      <c r="H176" s="34">
        <v>0.660942193922</v>
      </c>
      <c r="I176" s="36">
        <v>41914.0</v>
      </c>
      <c r="J176" t="str">
        <f t="shared" si="8"/>
        <v>2011-09</v>
      </c>
      <c r="K176" s="44" t="str">
        <f t="shared" si="9"/>
        <v>2014-10</v>
      </c>
      <c r="L176" s="46">
        <v>41031.0</v>
      </c>
      <c r="M176" s="4">
        <v>0.769894362042</v>
      </c>
      <c r="N176" s="36">
        <v>41935.0</v>
      </c>
      <c r="O176" t="str">
        <f t="shared" si="10"/>
        <v>2012-05</v>
      </c>
      <c r="P176" t="str">
        <f t="shared" si="11"/>
        <v>2014-10</v>
      </c>
      <c r="Q176" s="36">
        <v>41905.0</v>
      </c>
      <c r="R176" s="4">
        <v>0.833167738555</v>
      </c>
      <c r="S176" s="36">
        <v>42598.0</v>
      </c>
      <c r="T176" t="str">
        <f t="shared" si="12"/>
        <v>2014-09</v>
      </c>
      <c r="U176" t="str">
        <f t="shared" si="13"/>
        <v>2016-08</v>
      </c>
      <c r="AB176" s="36">
        <v>40099.0</v>
      </c>
      <c r="AC176" s="4">
        <v>0.661805021054</v>
      </c>
      <c r="AD176" s="47">
        <v>41371.0</v>
      </c>
      <c r="AE176" t="str">
        <f t="shared" si="14"/>
        <v>2009-10</v>
      </c>
      <c r="AF176" t="str">
        <f t="shared" si="15"/>
        <v>2013-04</v>
      </c>
      <c r="AG176" s="36">
        <v>41090.0</v>
      </c>
      <c r="AH176" s="4">
        <v>0.928968884289</v>
      </c>
      <c r="AI176" s="47">
        <v>43173.0</v>
      </c>
      <c r="AJ176" s="48" t="str">
        <f t="shared" si="16"/>
        <v>2012-06</v>
      </c>
      <c r="AK176" s="49" t="str">
        <f t="shared" si="17"/>
        <v>2018-03</v>
      </c>
      <c r="AL176" s="36">
        <v>40753.0</v>
      </c>
      <c r="AM176" s="4">
        <v>0.699498498127</v>
      </c>
      <c r="AN176" s="47">
        <v>41936.0</v>
      </c>
      <c r="AO176" s="49" t="str">
        <f t="shared" si="18"/>
        <v>2011-07</v>
      </c>
      <c r="AP176" t="str">
        <f t="shared" si="19"/>
        <v>2014-10</v>
      </c>
    </row>
    <row r="177">
      <c r="A177" s="36">
        <v>40230.0</v>
      </c>
      <c r="B177" s="34">
        <v>0.585017058553</v>
      </c>
      <c r="C177" s="36">
        <v>40801.0</v>
      </c>
      <c r="D177" t="str">
        <f t="shared" si="6"/>
        <v>2010-02</v>
      </c>
      <c r="E177" s="44" t="str">
        <f t="shared" si="7"/>
        <v>2011-09</v>
      </c>
      <c r="F177" s="45">
        <v>4369.0</v>
      </c>
      <c r="G177" s="36">
        <v>40791.0</v>
      </c>
      <c r="H177" s="34">
        <v>0.699629212287</v>
      </c>
      <c r="I177" s="36">
        <v>41963.0</v>
      </c>
      <c r="J177" t="str">
        <f t="shared" si="8"/>
        <v>2011-09</v>
      </c>
      <c r="K177" s="44" t="str">
        <f t="shared" si="9"/>
        <v>2014-11</v>
      </c>
      <c r="L177" s="46">
        <v>41032.0</v>
      </c>
      <c r="M177" s="4">
        <v>0.574963676738</v>
      </c>
      <c r="N177" s="36">
        <v>41873.0</v>
      </c>
      <c r="O177" t="str">
        <f t="shared" si="10"/>
        <v>2012-05</v>
      </c>
      <c r="P177" t="str">
        <f t="shared" si="11"/>
        <v>2014-08</v>
      </c>
      <c r="Q177" s="36">
        <v>41906.0</v>
      </c>
      <c r="R177" s="4">
        <v>0.313591038752</v>
      </c>
      <c r="S177" s="36">
        <v>42602.0</v>
      </c>
      <c r="T177" t="str">
        <f t="shared" si="12"/>
        <v>2014-09</v>
      </c>
      <c r="U177" t="str">
        <f t="shared" si="13"/>
        <v>2016-08</v>
      </c>
      <c r="AB177" s="36">
        <v>40100.0</v>
      </c>
      <c r="AC177" s="4">
        <v>0.740742382937</v>
      </c>
      <c r="AD177" s="47">
        <v>41388.0</v>
      </c>
      <c r="AE177" t="str">
        <f t="shared" si="14"/>
        <v>2009-10</v>
      </c>
      <c r="AF177" t="str">
        <f t="shared" si="15"/>
        <v>2013-04</v>
      </c>
      <c r="AG177" s="36">
        <v>41091.0</v>
      </c>
      <c r="AH177" s="4">
        <v>0.790717941279</v>
      </c>
      <c r="AJ177" s="48" t="str">
        <f t="shared" si="16"/>
        <v>2012-07</v>
      </c>
      <c r="AL177" s="36">
        <v>40760.0</v>
      </c>
      <c r="AM177" s="4">
        <v>0.736194134065</v>
      </c>
      <c r="AN177" s="47">
        <v>41963.0</v>
      </c>
      <c r="AO177" s="49" t="str">
        <f t="shared" si="18"/>
        <v>2011-08</v>
      </c>
      <c r="AP177" t="str">
        <f t="shared" si="19"/>
        <v>2014-11</v>
      </c>
    </row>
    <row r="178">
      <c r="A178" s="36">
        <v>40237.0</v>
      </c>
      <c r="B178" s="34">
        <v>0.685597416048</v>
      </c>
      <c r="C178" s="36">
        <v>40730.0</v>
      </c>
      <c r="D178" t="str">
        <f t="shared" si="6"/>
        <v>2010-02</v>
      </c>
      <c r="E178" s="44" t="str">
        <f t="shared" si="7"/>
        <v>2011-07</v>
      </c>
      <c r="F178" s="45">
        <v>4369.0</v>
      </c>
      <c r="G178" s="36">
        <v>40794.0</v>
      </c>
      <c r="H178" s="34">
        <v>0.75856784794</v>
      </c>
      <c r="I178" s="36">
        <v>41988.0</v>
      </c>
      <c r="J178" t="str">
        <f t="shared" si="8"/>
        <v>2011-09</v>
      </c>
      <c r="K178" s="44" t="str">
        <f t="shared" si="9"/>
        <v>2014-12</v>
      </c>
      <c r="L178" s="46">
        <v>41036.0</v>
      </c>
      <c r="M178" s="4">
        <v>0.725160162523</v>
      </c>
      <c r="N178" s="36">
        <v>41902.0</v>
      </c>
      <c r="O178" t="str">
        <f t="shared" si="10"/>
        <v>2012-05</v>
      </c>
      <c r="P178" t="str">
        <f t="shared" si="11"/>
        <v>2014-09</v>
      </c>
      <c r="Q178" s="36">
        <v>41907.0</v>
      </c>
      <c r="R178" s="4">
        <v>0.829943111856</v>
      </c>
      <c r="S178" s="36">
        <v>42611.0</v>
      </c>
      <c r="T178" t="str">
        <f t="shared" si="12"/>
        <v>2014-09</v>
      </c>
      <c r="U178" t="str">
        <f t="shared" si="13"/>
        <v>2016-08</v>
      </c>
      <c r="AB178" s="36">
        <v>40106.0</v>
      </c>
      <c r="AC178" s="4">
        <v>0.747843120522</v>
      </c>
      <c r="AD178" s="47">
        <v>41392.0</v>
      </c>
      <c r="AE178" t="str">
        <f t="shared" si="14"/>
        <v>2009-10</v>
      </c>
      <c r="AF178" t="str">
        <f t="shared" si="15"/>
        <v>2013-04</v>
      </c>
      <c r="AG178" s="36">
        <v>41092.0</v>
      </c>
      <c r="AH178" s="4">
        <v>0.768517221245</v>
      </c>
      <c r="AJ178" s="48" t="str">
        <f t="shared" si="16"/>
        <v>2012-07</v>
      </c>
      <c r="AL178" s="36">
        <v>40761.0</v>
      </c>
      <c r="AM178" s="4">
        <v>0.748194542938</v>
      </c>
      <c r="AN178" s="47">
        <v>41976.0</v>
      </c>
      <c r="AO178" s="49" t="str">
        <f t="shared" si="18"/>
        <v>2011-08</v>
      </c>
      <c r="AP178" t="str">
        <f t="shared" si="19"/>
        <v>2014-12</v>
      </c>
    </row>
    <row r="179">
      <c r="A179" s="36">
        <v>40238.0</v>
      </c>
      <c r="B179" s="34">
        <v>0.739116916165</v>
      </c>
      <c r="C179" s="36">
        <v>40738.0</v>
      </c>
      <c r="D179" t="str">
        <f t="shared" si="6"/>
        <v>2010-03</v>
      </c>
      <c r="E179" s="44" t="str">
        <f t="shared" si="7"/>
        <v>2011-07</v>
      </c>
      <c r="F179" s="45">
        <v>4369.0</v>
      </c>
      <c r="G179" s="36">
        <v>40795.0</v>
      </c>
      <c r="H179" s="34">
        <v>0.755116281575</v>
      </c>
      <c r="I179" s="36">
        <v>42276.0</v>
      </c>
      <c r="J179" t="str">
        <f t="shared" si="8"/>
        <v>2011-09</v>
      </c>
      <c r="K179" s="44" t="str">
        <f t="shared" si="9"/>
        <v>2015-09</v>
      </c>
      <c r="L179" s="46">
        <v>41037.0</v>
      </c>
      <c r="M179" s="4">
        <v>0.760146007761</v>
      </c>
      <c r="N179" s="36">
        <v>41909.0</v>
      </c>
      <c r="O179" t="str">
        <f t="shared" si="10"/>
        <v>2012-05</v>
      </c>
      <c r="P179" t="str">
        <f t="shared" si="11"/>
        <v>2014-09</v>
      </c>
      <c r="Q179" s="36">
        <v>41911.0</v>
      </c>
      <c r="R179" s="4">
        <v>0.773553435102</v>
      </c>
      <c r="S179" s="36">
        <v>42621.0</v>
      </c>
      <c r="T179" t="str">
        <f t="shared" si="12"/>
        <v>2014-09</v>
      </c>
      <c r="U179" t="str">
        <f t="shared" si="13"/>
        <v>2016-09</v>
      </c>
      <c r="AB179" s="36">
        <v>40107.0</v>
      </c>
      <c r="AC179" s="4">
        <v>0.569669716999</v>
      </c>
      <c r="AD179" s="47">
        <v>41405.0</v>
      </c>
      <c r="AE179" t="str">
        <f t="shared" si="14"/>
        <v>2009-10</v>
      </c>
      <c r="AF179" t="str">
        <f t="shared" si="15"/>
        <v>2013-05</v>
      </c>
      <c r="AG179" s="36">
        <v>41093.0</v>
      </c>
      <c r="AH179" s="4">
        <v>0.80915786224</v>
      </c>
      <c r="AJ179" s="48" t="str">
        <f t="shared" si="16"/>
        <v>2012-07</v>
      </c>
      <c r="AL179" s="36">
        <v>40767.0</v>
      </c>
      <c r="AM179" s="4">
        <v>0.714084170378</v>
      </c>
      <c r="AN179" s="47">
        <v>42011.0</v>
      </c>
      <c r="AO179" s="49" t="str">
        <f t="shared" si="18"/>
        <v>2011-08</v>
      </c>
      <c r="AP179" t="str">
        <f t="shared" si="19"/>
        <v>2015-01</v>
      </c>
    </row>
    <row r="180">
      <c r="A180" s="36">
        <v>40243.0</v>
      </c>
      <c r="B180" s="34">
        <v>0.564001768464</v>
      </c>
      <c r="C180" s="36">
        <v>40746.0</v>
      </c>
      <c r="D180" t="str">
        <f t="shared" si="6"/>
        <v>2010-03</v>
      </c>
      <c r="E180" s="44" t="str">
        <f t="shared" si="7"/>
        <v>2011-07</v>
      </c>
      <c r="F180" s="45">
        <v>4369.0</v>
      </c>
      <c r="G180" s="36">
        <v>40797.0</v>
      </c>
      <c r="H180" s="34">
        <v>0.675907946263</v>
      </c>
      <c r="I180" s="36">
        <v>42572.0</v>
      </c>
      <c r="J180" t="str">
        <f t="shared" si="8"/>
        <v>2011-09</v>
      </c>
      <c r="K180" s="44" t="str">
        <f t="shared" si="9"/>
        <v>2016-07</v>
      </c>
      <c r="L180" s="46">
        <v>41038.0</v>
      </c>
      <c r="M180" s="4">
        <v>0.737592623896</v>
      </c>
      <c r="N180" s="36">
        <v>41917.0</v>
      </c>
      <c r="O180" t="str">
        <f t="shared" si="10"/>
        <v>2012-05</v>
      </c>
      <c r="P180" t="str">
        <f t="shared" si="11"/>
        <v>2014-10</v>
      </c>
      <c r="Q180" s="36">
        <v>41912.0</v>
      </c>
      <c r="R180" s="4">
        <v>0.832670747446</v>
      </c>
      <c r="S180" s="36">
        <v>42626.0</v>
      </c>
      <c r="T180" t="str">
        <f t="shared" si="12"/>
        <v>2014-09</v>
      </c>
      <c r="U180" t="str">
        <f t="shared" si="13"/>
        <v>2016-09</v>
      </c>
      <c r="AB180" s="36">
        <v>40113.0</v>
      </c>
      <c r="AC180" s="4">
        <v>0.768797781172</v>
      </c>
      <c r="AD180" s="47">
        <v>41435.0</v>
      </c>
      <c r="AE180" t="str">
        <f t="shared" si="14"/>
        <v>2009-10</v>
      </c>
      <c r="AF180" t="str">
        <f t="shared" si="15"/>
        <v>2013-06</v>
      </c>
      <c r="AG180" s="36">
        <v>41098.0</v>
      </c>
      <c r="AH180" s="4">
        <v>0.845744008585</v>
      </c>
      <c r="AJ180" s="48" t="str">
        <f t="shared" si="16"/>
        <v>2012-07</v>
      </c>
      <c r="AL180" s="36">
        <v>40768.0</v>
      </c>
      <c r="AM180" s="4">
        <v>0.701344571877</v>
      </c>
      <c r="AN180" s="47">
        <v>42034.0</v>
      </c>
      <c r="AO180" s="49" t="str">
        <f t="shared" si="18"/>
        <v>2011-08</v>
      </c>
      <c r="AP180" t="str">
        <f t="shared" si="19"/>
        <v>2015-01</v>
      </c>
    </row>
    <row r="181">
      <c r="A181" s="36">
        <v>40244.0</v>
      </c>
      <c r="B181" s="34">
        <v>0.75331822112</v>
      </c>
      <c r="C181" s="36">
        <v>40757.0</v>
      </c>
      <c r="D181" t="str">
        <f t="shared" si="6"/>
        <v>2010-03</v>
      </c>
      <c r="E181" s="44" t="str">
        <f t="shared" si="7"/>
        <v>2011-08</v>
      </c>
      <c r="F181" s="45">
        <v>4369.0</v>
      </c>
      <c r="G181" s="36">
        <v>40801.0</v>
      </c>
      <c r="H181" s="34">
        <v>0.652057489637</v>
      </c>
      <c r="I181" s="36">
        <v>42654.0</v>
      </c>
      <c r="J181" t="str">
        <f t="shared" si="8"/>
        <v>2011-09</v>
      </c>
      <c r="K181" s="44" t="str">
        <f t="shared" si="9"/>
        <v>2016-10</v>
      </c>
      <c r="L181" s="46">
        <v>41043.0</v>
      </c>
      <c r="M181" s="4">
        <v>0.750008273385</v>
      </c>
      <c r="N181" s="36">
        <v>41925.0</v>
      </c>
      <c r="O181" t="str">
        <f t="shared" si="10"/>
        <v>2012-05</v>
      </c>
      <c r="P181" t="str">
        <f t="shared" si="11"/>
        <v>2014-10</v>
      </c>
      <c r="Q181" s="36">
        <v>41913.0</v>
      </c>
      <c r="R181" s="4">
        <v>0.605547544948</v>
      </c>
      <c r="S181" s="36">
        <v>42636.0</v>
      </c>
      <c r="T181" t="str">
        <f t="shared" si="12"/>
        <v>2014-10</v>
      </c>
      <c r="U181" t="str">
        <f t="shared" si="13"/>
        <v>2016-09</v>
      </c>
      <c r="AB181" s="36">
        <v>40114.0</v>
      </c>
      <c r="AC181" s="4">
        <v>0.705332339425</v>
      </c>
      <c r="AD181" s="47">
        <v>41460.0</v>
      </c>
      <c r="AE181" t="str">
        <f t="shared" si="14"/>
        <v>2009-10</v>
      </c>
      <c r="AF181" t="str">
        <f t="shared" si="15"/>
        <v>2013-07</v>
      </c>
      <c r="AG181" s="36">
        <v>41099.0</v>
      </c>
      <c r="AH181" s="4">
        <v>0.706290469957</v>
      </c>
      <c r="AJ181" s="48" t="str">
        <f t="shared" si="16"/>
        <v>2012-07</v>
      </c>
      <c r="AL181" s="36">
        <v>40774.0</v>
      </c>
      <c r="AM181" s="4">
        <v>0.731021709171</v>
      </c>
      <c r="AN181" s="47">
        <v>42080.0</v>
      </c>
      <c r="AO181" s="49" t="str">
        <f t="shared" si="18"/>
        <v>2011-08</v>
      </c>
      <c r="AP181" t="str">
        <f t="shared" si="19"/>
        <v>2015-03</v>
      </c>
    </row>
    <row r="182">
      <c r="A182" s="36">
        <v>40245.0</v>
      </c>
      <c r="B182" s="34">
        <v>0.683260179487</v>
      </c>
      <c r="C182" s="36">
        <v>40767.0</v>
      </c>
      <c r="D182" t="str">
        <f t="shared" si="6"/>
        <v>2010-03</v>
      </c>
      <c r="E182" s="44" t="str">
        <f t="shared" si="7"/>
        <v>2011-08</v>
      </c>
      <c r="F182" s="45">
        <v>4369.0</v>
      </c>
      <c r="G182" s="36">
        <v>40802.0</v>
      </c>
      <c r="H182" s="34">
        <v>0.599070601291</v>
      </c>
      <c r="I182" s="36">
        <v>42654.0</v>
      </c>
      <c r="J182" t="str">
        <f t="shared" si="8"/>
        <v>2011-09</v>
      </c>
      <c r="K182" s="44" t="str">
        <f t="shared" si="9"/>
        <v>2016-10</v>
      </c>
      <c r="L182" s="46">
        <v>41044.0</v>
      </c>
      <c r="M182" s="4">
        <v>0.734851578266</v>
      </c>
      <c r="N182" s="36">
        <v>41940.0</v>
      </c>
      <c r="O182" t="str">
        <f t="shared" si="10"/>
        <v>2012-05</v>
      </c>
      <c r="P182" t="str">
        <f t="shared" si="11"/>
        <v>2014-10</v>
      </c>
      <c r="Q182" s="36">
        <v>41914.0</v>
      </c>
      <c r="R182" s="4">
        <v>0.750969927075</v>
      </c>
      <c r="S182" s="36">
        <v>42640.0</v>
      </c>
      <c r="T182" t="str">
        <f t="shared" si="12"/>
        <v>2014-10</v>
      </c>
      <c r="U182" t="str">
        <f t="shared" si="13"/>
        <v>2016-09</v>
      </c>
      <c r="AB182" s="36">
        <v>40120.0</v>
      </c>
      <c r="AC182" s="4">
        <v>0.659797776758</v>
      </c>
      <c r="AD182" s="47">
        <v>41473.0</v>
      </c>
      <c r="AE182" t="str">
        <f t="shared" si="14"/>
        <v>2009-11</v>
      </c>
      <c r="AF182" t="str">
        <f t="shared" si="15"/>
        <v>2013-07</v>
      </c>
      <c r="AG182" s="36">
        <v>41100.0</v>
      </c>
      <c r="AH182" s="4">
        <v>0.802279320859</v>
      </c>
      <c r="AJ182" s="48" t="str">
        <f t="shared" si="16"/>
        <v>2012-07</v>
      </c>
      <c r="AL182" s="36">
        <v>40775.0</v>
      </c>
      <c r="AM182" s="4">
        <v>0.711436926048</v>
      </c>
      <c r="AN182" s="47">
        <v>42095.0</v>
      </c>
      <c r="AO182" s="49" t="str">
        <f t="shared" si="18"/>
        <v>2011-08</v>
      </c>
      <c r="AP182" t="str">
        <f t="shared" si="19"/>
        <v>2015-04</v>
      </c>
    </row>
    <row r="183">
      <c r="A183" s="36">
        <v>40249.0</v>
      </c>
      <c r="B183" s="34">
        <v>0.840228100252</v>
      </c>
      <c r="C183" s="36">
        <v>40781.0</v>
      </c>
      <c r="D183" t="str">
        <f t="shared" si="6"/>
        <v>2010-03</v>
      </c>
      <c r="E183" s="44" t="str">
        <f t="shared" si="7"/>
        <v>2011-08</v>
      </c>
      <c r="F183" s="45">
        <v>4337.0</v>
      </c>
      <c r="G183" s="36">
        <v>40803.0</v>
      </c>
      <c r="H183" s="34">
        <v>0.459606765001</v>
      </c>
      <c r="I183" s="36">
        <v>41706.0</v>
      </c>
      <c r="J183" t="str">
        <f t="shared" si="8"/>
        <v>2011-09</v>
      </c>
      <c r="K183" s="44" t="str">
        <f t="shared" si="9"/>
        <v>2014-03</v>
      </c>
      <c r="L183" s="46">
        <v>41045.0</v>
      </c>
      <c r="M183" s="4">
        <v>0.673466904307</v>
      </c>
      <c r="N183" s="36">
        <v>41947.0</v>
      </c>
      <c r="O183" t="str">
        <f t="shared" si="10"/>
        <v>2012-05</v>
      </c>
      <c r="P183" t="str">
        <f t="shared" si="11"/>
        <v>2014-11</v>
      </c>
      <c r="Q183" s="36">
        <v>41918.0</v>
      </c>
      <c r="R183" s="4">
        <v>0.498796484357</v>
      </c>
      <c r="S183" s="36">
        <v>42643.0</v>
      </c>
      <c r="T183" t="str">
        <f t="shared" si="12"/>
        <v>2014-10</v>
      </c>
      <c r="U183" t="str">
        <f t="shared" si="13"/>
        <v>2016-09</v>
      </c>
      <c r="AB183" s="36">
        <v>40121.0</v>
      </c>
      <c r="AC183" s="4">
        <v>0.644649776356</v>
      </c>
      <c r="AD183" s="47">
        <v>41497.0</v>
      </c>
      <c r="AE183" t="str">
        <f t="shared" si="14"/>
        <v>2009-11</v>
      </c>
      <c r="AF183" t="str">
        <f t="shared" si="15"/>
        <v>2013-08</v>
      </c>
      <c r="AG183" s="36">
        <v>41106.0</v>
      </c>
      <c r="AH183" s="4">
        <v>0.782197714859</v>
      </c>
      <c r="AJ183" s="48" t="str">
        <f t="shared" si="16"/>
        <v>2012-07</v>
      </c>
      <c r="AL183" s="36">
        <v>40781.0</v>
      </c>
      <c r="AM183" s="4">
        <v>0.698827712941</v>
      </c>
      <c r="AN183" s="47">
        <v>42134.0</v>
      </c>
      <c r="AO183" s="49" t="str">
        <f t="shared" si="18"/>
        <v>2011-08</v>
      </c>
      <c r="AP183" t="str">
        <f t="shared" si="19"/>
        <v>2015-05</v>
      </c>
    </row>
    <row r="184">
      <c r="A184" s="36">
        <v>40250.0</v>
      </c>
      <c r="B184" s="34">
        <v>0.684761073209</v>
      </c>
      <c r="C184" s="36">
        <v>40781.0</v>
      </c>
      <c r="D184" t="str">
        <f t="shared" si="6"/>
        <v>2010-03</v>
      </c>
      <c r="E184" s="44" t="str">
        <f t="shared" si="7"/>
        <v>2011-08</v>
      </c>
      <c r="F184" s="45">
        <v>4297.0</v>
      </c>
      <c r="G184" s="36">
        <v>40804.0</v>
      </c>
      <c r="H184" s="34">
        <v>0.727444293438</v>
      </c>
      <c r="I184" s="36">
        <v>41712.0</v>
      </c>
      <c r="J184" t="str">
        <f t="shared" si="8"/>
        <v>2011-09</v>
      </c>
      <c r="K184" s="44" t="str">
        <f t="shared" si="9"/>
        <v>2014-03</v>
      </c>
      <c r="L184" s="46">
        <v>41052.0</v>
      </c>
      <c r="M184" s="4">
        <v>0.688663272137</v>
      </c>
      <c r="N184" s="36">
        <v>41931.0</v>
      </c>
      <c r="O184" t="str">
        <f t="shared" si="10"/>
        <v>2012-05</v>
      </c>
      <c r="P184" t="str">
        <f t="shared" si="11"/>
        <v>2014-10</v>
      </c>
      <c r="Q184" s="36">
        <v>41919.0</v>
      </c>
      <c r="R184" s="4">
        <v>0.62483995806</v>
      </c>
      <c r="S184" s="36">
        <v>42643.0</v>
      </c>
      <c r="T184" t="str">
        <f t="shared" si="12"/>
        <v>2014-10</v>
      </c>
      <c r="U184" t="str">
        <f t="shared" si="13"/>
        <v>2016-09</v>
      </c>
      <c r="AB184" s="36">
        <v>40127.0</v>
      </c>
      <c r="AC184" s="4">
        <v>0.665259165565</v>
      </c>
      <c r="AD184" s="47">
        <v>41516.0</v>
      </c>
      <c r="AE184" t="str">
        <f t="shared" si="14"/>
        <v>2009-11</v>
      </c>
      <c r="AF184" t="str">
        <f t="shared" si="15"/>
        <v>2013-08</v>
      </c>
      <c r="AG184" s="36">
        <v>41107.0</v>
      </c>
      <c r="AH184" s="4">
        <v>0.858791741003</v>
      </c>
      <c r="AJ184" s="48" t="str">
        <f t="shared" si="16"/>
        <v>2012-07</v>
      </c>
      <c r="AL184" s="36">
        <v>40782.0</v>
      </c>
      <c r="AM184" s="4">
        <v>0.729415971371</v>
      </c>
      <c r="AN184" s="47">
        <v>42150.0</v>
      </c>
      <c r="AO184" s="49" t="str">
        <f t="shared" si="18"/>
        <v>2011-08</v>
      </c>
      <c r="AP184" t="str">
        <f t="shared" si="19"/>
        <v>2015-05</v>
      </c>
    </row>
    <row r="185">
      <c r="A185" s="36">
        <v>40251.0</v>
      </c>
      <c r="B185" s="34">
        <v>0.745850288741</v>
      </c>
      <c r="C185" s="36">
        <v>40795.0</v>
      </c>
      <c r="D185" t="str">
        <f t="shared" si="6"/>
        <v>2010-03</v>
      </c>
      <c r="E185" s="44" t="str">
        <f t="shared" si="7"/>
        <v>2011-09</v>
      </c>
      <c r="F185" s="45">
        <v>4237.0</v>
      </c>
      <c r="G185" s="36">
        <v>40805.0</v>
      </c>
      <c r="H185" s="34">
        <v>0.795526157778</v>
      </c>
      <c r="I185" s="36">
        <v>41719.0</v>
      </c>
      <c r="J185" t="str">
        <f t="shared" si="8"/>
        <v>2011-09</v>
      </c>
      <c r="K185" s="44" t="str">
        <f t="shared" si="9"/>
        <v>2014-03</v>
      </c>
      <c r="L185" s="46">
        <v>41053.0</v>
      </c>
      <c r="M185" s="4">
        <v>0.702291586593</v>
      </c>
      <c r="N185" s="36">
        <v>41948.0</v>
      </c>
      <c r="O185" t="str">
        <f t="shared" si="10"/>
        <v>2012-05</v>
      </c>
      <c r="P185" t="str">
        <f t="shared" si="11"/>
        <v>2014-11</v>
      </c>
      <c r="Q185" s="36">
        <v>41920.0</v>
      </c>
      <c r="R185" s="4">
        <v>0.876364698637</v>
      </c>
      <c r="S185" s="36">
        <v>42655.0</v>
      </c>
      <c r="T185" t="str">
        <f t="shared" si="12"/>
        <v>2014-10</v>
      </c>
      <c r="U185" t="str">
        <f t="shared" si="13"/>
        <v>2016-10</v>
      </c>
      <c r="AB185" s="36">
        <v>40128.0</v>
      </c>
      <c r="AC185" s="4">
        <v>0.779394351277</v>
      </c>
      <c r="AD185" s="47">
        <v>41497.0</v>
      </c>
      <c r="AE185" t="str">
        <f t="shared" si="14"/>
        <v>2009-11</v>
      </c>
      <c r="AF185" t="str">
        <f t="shared" si="15"/>
        <v>2013-08</v>
      </c>
      <c r="AG185" s="36">
        <v>41111.0</v>
      </c>
      <c r="AH185" s="4">
        <v>0.70801946808</v>
      </c>
      <c r="AJ185" s="48" t="str">
        <f t="shared" si="16"/>
        <v>2012-07</v>
      </c>
      <c r="AL185" s="36">
        <v>40788.0</v>
      </c>
      <c r="AM185" s="4">
        <v>0.773808178894</v>
      </c>
      <c r="AN185" s="47">
        <v>42153.0</v>
      </c>
      <c r="AO185" s="49" t="str">
        <f t="shared" si="18"/>
        <v>2011-09</v>
      </c>
      <c r="AP185" t="str">
        <f t="shared" si="19"/>
        <v>2015-05</v>
      </c>
    </row>
    <row r="186">
      <c r="A186" s="36">
        <v>40256.0</v>
      </c>
      <c r="B186" s="34">
        <v>0.768367896367</v>
      </c>
      <c r="C186" s="36">
        <v>40803.0</v>
      </c>
      <c r="D186" t="str">
        <f t="shared" si="6"/>
        <v>2010-03</v>
      </c>
      <c r="E186" s="44" t="str">
        <f t="shared" si="7"/>
        <v>2011-09</v>
      </c>
      <c r="F186" s="45">
        <v>4174.0</v>
      </c>
      <c r="G186" s="36">
        <v>40808.0</v>
      </c>
      <c r="H186" s="34">
        <v>0.716004770431</v>
      </c>
      <c r="I186" s="36">
        <v>41726.0</v>
      </c>
      <c r="J186" t="str">
        <f t="shared" si="8"/>
        <v>2011-09</v>
      </c>
      <c r="K186" s="44" t="str">
        <f t="shared" si="9"/>
        <v>2014-03</v>
      </c>
      <c r="L186" s="46">
        <v>41058.0</v>
      </c>
      <c r="M186" s="4">
        <v>0.710366651171</v>
      </c>
      <c r="N186" s="36">
        <v>41958.0</v>
      </c>
      <c r="O186" t="str">
        <f t="shared" si="10"/>
        <v>2012-05</v>
      </c>
      <c r="P186" t="str">
        <f t="shared" si="11"/>
        <v>2014-11</v>
      </c>
      <c r="Q186" s="36">
        <v>41921.0</v>
      </c>
      <c r="R186" s="4">
        <v>0.770062778424</v>
      </c>
      <c r="S186" s="36">
        <v>42656.0</v>
      </c>
      <c r="T186" t="str">
        <f t="shared" si="12"/>
        <v>2014-10</v>
      </c>
      <c r="U186" t="str">
        <f t="shared" si="13"/>
        <v>2016-10</v>
      </c>
      <c r="AB186" s="36">
        <v>40134.0</v>
      </c>
      <c r="AC186" s="4">
        <v>0.666546316441</v>
      </c>
      <c r="AD186" s="47">
        <v>41505.0</v>
      </c>
      <c r="AE186" t="str">
        <f t="shared" si="14"/>
        <v>2009-11</v>
      </c>
      <c r="AF186" t="str">
        <f t="shared" si="15"/>
        <v>2013-08</v>
      </c>
      <c r="AG186" s="36">
        <v>41112.0</v>
      </c>
      <c r="AH186" s="4">
        <v>0.769750557474</v>
      </c>
      <c r="AJ186" s="48" t="str">
        <f t="shared" si="16"/>
        <v>2012-07</v>
      </c>
      <c r="AL186" s="36">
        <v>40789.0</v>
      </c>
      <c r="AM186" s="4">
        <v>0.716133352744</v>
      </c>
      <c r="AN186" s="47">
        <v>42198.0</v>
      </c>
      <c r="AO186" s="49" t="str">
        <f t="shared" si="18"/>
        <v>2011-09</v>
      </c>
      <c r="AP186" t="str">
        <f t="shared" si="19"/>
        <v>2015-07</v>
      </c>
    </row>
    <row r="187">
      <c r="A187" s="36">
        <v>40257.0</v>
      </c>
      <c r="B187" s="34">
        <v>0.705113934296</v>
      </c>
      <c r="C187" s="36">
        <v>40816.0</v>
      </c>
      <c r="D187" t="str">
        <f t="shared" si="6"/>
        <v>2010-03</v>
      </c>
      <c r="E187" s="44" t="str">
        <f t="shared" si="7"/>
        <v>2011-09</v>
      </c>
      <c r="F187" s="45">
        <v>4148.0</v>
      </c>
      <c r="G187" s="36">
        <v>40809.0</v>
      </c>
      <c r="H187" s="34">
        <v>0.79047534208</v>
      </c>
      <c r="I187" s="36">
        <v>41732.0</v>
      </c>
      <c r="J187" t="str">
        <f t="shared" si="8"/>
        <v>2011-09</v>
      </c>
      <c r="K187" s="44" t="str">
        <f t="shared" si="9"/>
        <v>2014-04</v>
      </c>
      <c r="L187" s="46">
        <v>41059.0</v>
      </c>
      <c r="M187" s="4">
        <v>0.707351441042</v>
      </c>
      <c r="N187" s="36">
        <v>41973.0</v>
      </c>
      <c r="O187" t="str">
        <f t="shared" si="10"/>
        <v>2012-05</v>
      </c>
      <c r="P187" t="str">
        <f t="shared" si="11"/>
        <v>2014-11</v>
      </c>
      <c r="Q187" s="36">
        <v>41925.0</v>
      </c>
      <c r="R187" s="4">
        <v>0.952468392961</v>
      </c>
      <c r="S187" s="36">
        <v>42678.0</v>
      </c>
      <c r="T187" t="str">
        <f t="shared" si="12"/>
        <v>2014-10</v>
      </c>
      <c r="U187" t="str">
        <f t="shared" si="13"/>
        <v>2016-11</v>
      </c>
      <c r="AB187" s="36">
        <v>40135.0</v>
      </c>
      <c r="AC187" s="4">
        <v>0.811012717659</v>
      </c>
      <c r="AD187" s="47">
        <v>41460.0</v>
      </c>
      <c r="AE187" t="str">
        <f t="shared" si="14"/>
        <v>2009-11</v>
      </c>
      <c r="AF187" t="str">
        <f t="shared" si="15"/>
        <v>2013-07</v>
      </c>
      <c r="AG187" s="36">
        <v>41113.0</v>
      </c>
      <c r="AH187" s="4">
        <v>0.640888577251</v>
      </c>
      <c r="AJ187" s="48" t="str">
        <f t="shared" si="16"/>
        <v>2012-07</v>
      </c>
      <c r="AL187" s="36">
        <v>40795.0</v>
      </c>
      <c r="AM187" s="4">
        <v>0.658824292583</v>
      </c>
      <c r="AN187" s="47">
        <v>42248.0</v>
      </c>
      <c r="AO187" s="49" t="str">
        <f t="shared" si="18"/>
        <v>2011-09</v>
      </c>
      <c r="AP187" t="str">
        <f t="shared" si="19"/>
        <v>2015-09</v>
      </c>
    </row>
    <row r="188">
      <c r="A188" s="36">
        <v>40258.0</v>
      </c>
      <c r="B188" s="34">
        <v>0.606759365178</v>
      </c>
      <c r="C188" s="36">
        <v>40827.0</v>
      </c>
      <c r="D188" t="str">
        <f t="shared" si="6"/>
        <v>2010-03</v>
      </c>
      <c r="E188" s="44" t="str">
        <f t="shared" si="7"/>
        <v>2011-10</v>
      </c>
      <c r="F188" s="45">
        <v>4079.0</v>
      </c>
      <c r="G188" s="36">
        <v>40811.0</v>
      </c>
      <c r="H188" s="34">
        <v>0.605941829305</v>
      </c>
      <c r="I188" s="36">
        <v>41750.0</v>
      </c>
      <c r="J188" t="str">
        <f t="shared" si="8"/>
        <v>2011-09</v>
      </c>
      <c r="K188" s="44" t="str">
        <f t="shared" si="9"/>
        <v>2014-04</v>
      </c>
      <c r="L188" s="46">
        <v>41060.0</v>
      </c>
      <c r="M188" s="4">
        <v>0.690840306064</v>
      </c>
      <c r="N188" s="36">
        <v>41982.0</v>
      </c>
      <c r="O188" t="str">
        <f t="shared" si="10"/>
        <v>2012-05</v>
      </c>
      <c r="P188" t="str">
        <f t="shared" si="11"/>
        <v>2014-12</v>
      </c>
      <c r="Q188" s="36">
        <v>41927.0</v>
      </c>
      <c r="R188" s="4">
        <v>0.885836902202</v>
      </c>
      <c r="S188" s="36">
        <v>42679.0</v>
      </c>
      <c r="T188" t="str">
        <f t="shared" si="12"/>
        <v>2014-10</v>
      </c>
      <c r="U188" t="str">
        <f t="shared" si="13"/>
        <v>2016-11</v>
      </c>
      <c r="AB188" s="36">
        <v>40141.0</v>
      </c>
      <c r="AC188" s="4">
        <v>0.697828982894</v>
      </c>
      <c r="AD188" s="47">
        <v>41516.0</v>
      </c>
      <c r="AE188" t="str">
        <f t="shared" si="14"/>
        <v>2009-11</v>
      </c>
      <c r="AF188" t="str">
        <f t="shared" si="15"/>
        <v>2013-08</v>
      </c>
      <c r="AG188" s="36">
        <v>41120.0</v>
      </c>
      <c r="AH188" s="4">
        <v>0.681190494818</v>
      </c>
      <c r="AJ188" s="48" t="str">
        <f t="shared" si="16"/>
        <v>2012-07</v>
      </c>
      <c r="AL188" s="36">
        <v>40802.0</v>
      </c>
      <c r="AM188" s="4">
        <v>0.704482541439</v>
      </c>
      <c r="AN188" s="47">
        <v>42272.0</v>
      </c>
      <c r="AO188" s="49" t="str">
        <f t="shared" si="18"/>
        <v>2011-09</v>
      </c>
      <c r="AP188" t="str">
        <f t="shared" si="19"/>
        <v>2015-09</v>
      </c>
    </row>
    <row r="189">
      <c r="A189" s="36">
        <v>40259.0</v>
      </c>
      <c r="B189" s="34">
        <v>0.395744085076</v>
      </c>
      <c r="C189" s="36">
        <v>40838.0</v>
      </c>
      <c r="D189" t="str">
        <f t="shared" si="6"/>
        <v>2010-03</v>
      </c>
      <c r="E189" s="44" t="str">
        <f t="shared" si="7"/>
        <v>2011-10</v>
      </c>
      <c r="F189" s="45">
        <v>4061.0</v>
      </c>
      <c r="G189" s="36">
        <v>40812.0</v>
      </c>
      <c r="H189" s="34">
        <v>0.504845594755</v>
      </c>
      <c r="I189" s="36">
        <v>41754.0</v>
      </c>
      <c r="J189" t="str">
        <f t="shared" si="8"/>
        <v>2011-09</v>
      </c>
      <c r="K189" s="44" t="str">
        <f t="shared" si="9"/>
        <v>2014-04</v>
      </c>
      <c r="L189" s="46">
        <v>41065.0</v>
      </c>
      <c r="M189" s="4">
        <v>0.695687356409</v>
      </c>
      <c r="N189" s="36">
        <v>41996.0</v>
      </c>
      <c r="O189" t="str">
        <f t="shared" si="10"/>
        <v>2012-06</v>
      </c>
      <c r="P189" t="str">
        <f t="shared" si="11"/>
        <v>2014-12</v>
      </c>
      <c r="Q189" s="36">
        <v>41928.0</v>
      </c>
      <c r="R189" s="4">
        <v>0.672145248665</v>
      </c>
      <c r="S189" s="36">
        <v>42689.0</v>
      </c>
      <c r="T189" t="str">
        <f t="shared" si="12"/>
        <v>2014-10</v>
      </c>
      <c r="U189" t="str">
        <f t="shared" si="13"/>
        <v>2016-11</v>
      </c>
      <c r="AB189" s="36">
        <v>40142.0</v>
      </c>
      <c r="AC189" s="4">
        <v>0.514759886671</v>
      </c>
      <c r="AD189" s="47">
        <v>41532.0</v>
      </c>
      <c r="AE189" t="str">
        <f t="shared" si="14"/>
        <v>2009-11</v>
      </c>
      <c r="AF189" t="str">
        <f t="shared" si="15"/>
        <v>2013-09</v>
      </c>
      <c r="AG189" s="36">
        <v>41121.0</v>
      </c>
      <c r="AH189" s="4">
        <v>0.617187485949</v>
      </c>
      <c r="AJ189" s="48" t="str">
        <f t="shared" si="16"/>
        <v>2012-07</v>
      </c>
      <c r="AL189" s="36">
        <v>40809.0</v>
      </c>
      <c r="AM189" s="4">
        <v>0.693634997262</v>
      </c>
      <c r="AN189" s="47">
        <v>42304.0</v>
      </c>
      <c r="AO189" s="49" t="str">
        <f t="shared" si="18"/>
        <v>2011-09</v>
      </c>
      <c r="AP189" t="str">
        <f t="shared" si="19"/>
        <v>2015-10</v>
      </c>
    </row>
    <row r="190">
      <c r="A190" s="36">
        <v>40262.0</v>
      </c>
      <c r="B190" s="34">
        <v>0.745489680729</v>
      </c>
      <c r="C190" s="36">
        <v>40852.0</v>
      </c>
      <c r="D190" t="str">
        <f t="shared" si="6"/>
        <v>2010-03</v>
      </c>
      <c r="E190" s="44" t="str">
        <f t="shared" si="7"/>
        <v>2011-11</v>
      </c>
      <c r="F190" s="45">
        <v>4002.0</v>
      </c>
      <c r="G190" s="36">
        <v>40815.0</v>
      </c>
      <c r="H190" s="34">
        <v>0.625155175706</v>
      </c>
      <c r="I190" s="36">
        <v>41768.0</v>
      </c>
      <c r="J190" t="str">
        <f t="shared" si="8"/>
        <v>2011-09</v>
      </c>
      <c r="K190" s="44" t="str">
        <f t="shared" si="9"/>
        <v>2014-05</v>
      </c>
      <c r="L190" s="46">
        <v>41066.0</v>
      </c>
      <c r="M190" s="4">
        <v>0.704845711631</v>
      </c>
      <c r="N190" s="36">
        <v>41983.0</v>
      </c>
      <c r="O190" t="str">
        <f t="shared" si="10"/>
        <v>2012-06</v>
      </c>
      <c r="P190" t="str">
        <f t="shared" si="11"/>
        <v>2014-12</v>
      </c>
      <c r="Q190" s="36">
        <v>41935.0</v>
      </c>
      <c r="R190" s="4">
        <v>0.736237349464</v>
      </c>
      <c r="S190" s="36">
        <v>42690.0</v>
      </c>
      <c r="T190" t="str">
        <f t="shared" si="12"/>
        <v>2014-10</v>
      </c>
      <c r="U190" t="str">
        <f t="shared" si="13"/>
        <v>2016-11</v>
      </c>
      <c r="AB190" s="36">
        <v>40148.0</v>
      </c>
      <c r="AC190" s="4">
        <v>0.682403198913</v>
      </c>
      <c r="AD190" s="47">
        <v>41570.0</v>
      </c>
      <c r="AE190" t="str">
        <f t="shared" si="14"/>
        <v>2009-12</v>
      </c>
      <c r="AF190" t="str">
        <f t="shared" si="15"/>
        <v>2013-10</v>
      </c>
      <c r="AG190" s="36">
        <v>41126.0</v>
      </c>
      <c r="AH190" s="4">
        <v>0.665472333123</v>
      </c>
      <c r="AJ190" s="48" t="str">
        <f t="shared" si="16"/>
        <v>2012-08</v>
      </c>
      <c r="AL190" s="36">
        <v>40810.0</v>
      </c>
      <c r="AM190" s="4">
        <v>0.702886032901</v>
      </c>
      <c r="AN190" s="47">
        <v>42331.0</v>
      </c>
      <c r="AO190" s="49" t="str">
        <f t="shared" si="18"/>
        <v>2011-09</v>
      </c>
      <c r="AP190" t="str">
        <f t="shared" si="19"/>
        <v>2015-11</v>
      </c>
    </row>
    <row r="191">
      <c r="A191" s="36">
        <v>40263.0</v>
      </c>
      <c r="B191" s="34">
        <v>0.735628722058</v>
      </c>
      <c r="C191" s="36">
        <v>40858.0</v>
      </c>
      <c r="D191" t="str">
        <f t="shared" si="6"/>
        <v>2010-03</v>
      </c>
      <c r="E191" s="44" t="str">
        <f t="shared" si="7"/>
        <v>2011-11</v>
      </c>
      <c r="F191" s="45">
        <v>3978.0</v>
      </c>
      <c r="G191" s="36">
        <v>40816.0</v>
      </c>
      <c r="H191" s="34">
        <v>0.522076533018</v>
      </c>
      <c r="I191" s="36">
        <v>41775.0</v>
      </c>
      <c r="J191" t="str">
        <f t="shared" si="8"/>
        <v>2011-09</v>
      </c>
      <c r="K191" s="44" t="str">
        <f t="shared" si="9"/>
        <v>2014-05</v>
      </c>
      <c r="L191" s="46">
        <v>41067.0</v>
      </c>
      <c r="M191" s="4">
        <v>0.945114081652</v>
      </c>
      <c r="N191" s="36">
        <v>41996.0</v>
      </c>
      <c r="O191" t="str">
        <f t="shared" si="10"/>
        <v>2012-06</v>
      </c>
      <c r="P191" t="str">
        <f t="shared" si="11"/>
        <v>2014-12</v>
      </c>
      <c r="Q191" s="36">
        <v>41942.0</v>
      </c>
      <c r="R191" s="4">
        <v>0.980560948942</v>
      </c>
      <c r="S191" s="36">
        <v>42694.0</v>
      </c>
      <c r="T191" t="str">
        <f t="shared" si="12"/>
        <v>2014-10</v>
      </c>
      <c r="U191" t="str">
        <f t="shared" si="13"/>
        <v>2016-11</v>
      </c>
      <c r="AB191" s="36">
        <v>40149.0</v>
      </c>
      <c r="AC191" s="4">
        <v>0.85546371926</v>
      </c>
      <c r="AD191" s="47">
        <v>41603.0</v>
      </c>
      <c r="AE191" t="str">
        <f t="shared" si="14"/>
        <v>2009-12</v>
      </c>
      <c r="AF191" t="str">
        <f t="shared" si="15"/>
        <v>2013-11</v>
      </c>
      <c r="AG191" s="36">
        <v>41127.0</v>
      </c>
      <c r="AH191" s="4">
        <v>0.7070925458</v>
      </c>
      <c r="AJ191" s="48" t="str">
        <f t="shared" si="16"/>
        <v>2012-08</v>
      </c>
      <c r="AL191" s="36">
        <v>40816.0</v>
      </c>
      <c r="AM191" s="4">
        <v>0.712571170004</v>
      </c>
      <c r="AN191" s="47">
        <v>42364.0</v>
      </c>
      <c r="AO191" s="49" t="str">
        <f t="shared" si="18"/>
        <v>2011-09</v>
      </c>
      <c r="AP191" t="str">
        <f t="shared" si="19"/>
        <v>2015-12</v>
      </c>
    </row>
    <row r="192">
      <c r="A192" s="36">
        <v>40264.0</v>
      </c>
      <c r="B192" s="34">
        <v>0.727484980113</v>
      </c>
      <c r="C192" s="36">
        <v>40865.0</v>
      </c>
      <c r="D192" t="str">
        <f t="shared" si="6"/>
        <v>2010-03</v>
      </c>
      <c r="E192" s="44" t="str">
        <f t="shared" si="7"/>
        <v>2011-11</v>
      </c>
      <c r="F192" s="45">
        <v>3912.0</v>
      </c>
      <c r="G192" s="36">
        <v>40817.0</v>
      </c>
      <c r="H192" s="34">
        <v>0.633487642716</v>
      </c>
      <c r="I192" s="36">
        <v>41782.0</v>
      </c>
      <c r="J192" t="str">
        <f t="shared" si="8"/>
        <v>2011-10</v>
      </c>
      <c r="K192" s="44" t="str">
        <f t="shared" si="9"/>
        <v>2014-05</v>
      </c>
      <c r="L192" s="46">
        <v>41073.0</v>
      </c>
      <c r="M192" s="4">
        <v>0.73681708458</v>
      </c>
      <c r="N192" s="36">
        <v>42002.0</v>
      </c>
      <c r="O192" t="str">
        <f t="shared" si="10"/>
        <v>2012-06</v>
      </c>
      <c r="P192" t="str">
        <f t="shared" si="11"/>
        <v>2014-12</v>
      </c>
      <c r="Q192" s="36">
        <v>41946.0</v>
      </c>
      <c r="R192" s="4">
        <v>0.896679973402</v>
      </c>
      <c r="S192" s="36">
        <v>42696.0</v>
      </c>
      <c r="T192" t="str">
        <f t="shared" si="12"/>
        <v>2014-11</v>
      </c>
      <c r="U192" t="str">
        <f t="shared" si="13"/>
        <v>2016-11</v>
      </c>
      <c r="AB192" s="36">
        <v>40155.0</v>
      </c>
      <c r="AC192" s="4">
        <v>0.636771629043</v>
      </c>
      <c r="AD192" s="47">
        <v>41632.0</v>
      </c>
      <c r="AE192" t="str">
        <f t="shared" si="14"/>
        <v>2009-12</v>
      </c>
      <c r="AF192" t="str">
        <f t="shared" si="15"/>
        <v>2013-12</v>
      </c>
      <c r="AG192" s="36">
        <v>41128.0</v>
      </c>
      <c r="AH192" s="4">
        <v>0.705021495385</v>
      </c>
      <c r="AJ192" s="48" t="str">
        <f t="shared" si="16"/>
        <v>2012-08</v>
      </c>
      <c r="AL192" s="36">
        <v>40817.0</v>
      </c>
      <c r="AM192" s="4">
        <v>0.681571200793</v>
      </c>
      <c r="AN192" s="47">
        <v>42383.0</v>
      </c>
      <c r="AO192" s="49" t="str">
        <f t="shared" si="18"/>
        <v>2011-10</v>
      </c>
      <c r="AP192" t="str">
        <f t="shared" si="19"/>
        <v>2016-01</v>
      </c>
    </row>
    <row r="193">
      <c r="A193" s="36">
        <v>40265.0</v>
      </c>
      <c r="B193" s="34">
        <v>0.759514740156</v>
      </c>
      <c r="C193" s="36">
        <v>40872.0</v>
      </c>
      <c r="D193" t="str">
        <f t="shared" si="6"/>
        <v>2010-03</v>
      </c>
      <c r="E193" s="44" t="str">
        <f t="shared" si="7"/>
        <v>2011-11</v>
      </c>
      <c r="F193" s="45">
        <v>3843.0</v>
      </c>
      <c r="G193" s="36">
        <v>40818.0</v>
      </c>
      <c r="H193" s="34">
        <v>0.805435004144</v>
      </c>
      <c r="I193" s="36">
        <v>41796.0</v>
      </c>
      <c r="J193" t="str">
        <f t="shared" si="8"/>
        <v>2011-10</v>
      </c>
      <c r="K193" s="44" t="str">
        <f t="shared" si="9"/>
        <v>2014-06</v>
      </c>
      <c r="L193" s="46">
        <v>41074.0</v>
      </c>
      <c r="M193" s="4">
        <v>0.620386088585</v>
      </c>
      <c r="N193" s="36">
        <v>42015.0</v>
      </c>
      <c r="O193" t="str">
        <f t="shared" si="10"/>
        <v>2012-06</v>
      </c>
      <c r="P193" t="str">
        <f t="shared" si="11"/>
        <v>2015-01</v>
      </c>
      <c r="Q193" s="36">
        <v>41947.0</v>
      </c>
      <c r="R193" s="4">
        <v>0.916363587532</v>
      </c>
      <c r="S193" s="36">
        <v>42697.0</v>
      </c>
      <c r="T193" t="str">
        <f t="shared" si="12"/>
        <v>2014-11</v>
      </c>
      <c r="U193" t="str">
        <f t="shared" si="13"/>
        <v>2016-11</v>
      </c>
      <c r="AB193" s="36">
        <v>40156.0</v>
      </c>
      <c r="AC193" s="4">
        <v>0.755189517225</v>
      </c>
      <c r="AD193" s="47">
        <v>41665.0</v>
      </c>
      <c r="AE193" t="str">
        <f t="shared" si="14"/>
        <v>2009-12</v>
      </c>
      <c r="AF193" t="str">
        <f t="shared" si="15"/>
        <v>2014-01</v>
      </c>
      <c r="AG193" s="36">
        <v>41133.0</v>
      </c>
      <c r="AH193" s="4">
        <v>0.650007393317</v>
      </c>
      <c r="AJ193" s="48" t="str">
        <f t="shared" si="16"/>
        <v>2012-08</v>
      </c>
      <c r="AL193" s="36">
        <v>40823.0</v>
      </c>
      <c r="AM193" s="4">
        <v>0.723385834649</v>
      </c>
      <c r="AN193" s="47">
        <v>42428.0</v>
      </c>
      <c r="AO193" s="49" t="str">
        <f t="shared" si="18"/>
        <v>2011-10</v>
      </c>
      <c r="AP193" t="str">
        <f t="shared" si="19"/>
        <v>2016-02</v>
      </c>
    </row>
    <row r="194">
      <c r="A194" s="36">
        <v>40270.0</v>
      </c>
      <c r="B194" s="34">
        <v>0.728046993822</v>
      </c>
      <c r="C194" s="36">
        <v>40879.0</v>
      </c>
      <c r="D194" t="str">
        <f t="shared" si="6"/>
        <v>2010-04</v>
      </c>
      <c r="E194" s="44" t="str">
        <f t="shared" si="7"/>
        <v>2011-12</v>
      </c>
      <c r="F194" s="45">
        <v>3787.0</v>
      </c>
      <c r="G194" s="36">
        <v>40822.0</v>
      </c>
      <c r="H194" s="34">
        <v>0.573280355103</v>
      </c>
      <c r="I194" s="36">
        <v>41803.0</v>
      </c>
      <c r="J194" t="str">
        <f t="shared" si="8"/>
        <v>2011-10</v>
      </c>
      <c r="K194" s="44" t="str">
        <f t="shared" si="9"/>
        <v>2014-06</v>
      </c>
      <c r="L194" s="46">
        <v>41078.0</v>
      </c>
      <c r="M194" s="4">
        <v>0.659305608453</v>
      </c>
      <c r="N194" s="36">
        <v>42043.0</v>
      </c>
      <c r="O194" t="str">
        <f t="shared" si="10"/>
        <v>2012-06</v>
      </c>
      <c r="P194" t="str">
        <f t="shared" si="11"/>
        <v>2015-02</v>
      </c>
      <c r="Q194" s="36">
        <v>41948.0</v>
      </c>
      <c r="R194" s="4">
        <v>0.738155692743</v>
      </c>
      <c r="S194" s="36">
        <v>42697.0</v>
      </c>
      <c r="T194" t="str">
        <f t="shared" si="12"/>
        <v>2014-11</v>
      </c>
      <c r="U194" t="str">
        <f t="shared" si="13"/>
        <v>2016-11</v>
      </c>
      <c r="AB194" s="36">
        <v>40162.0</v>
      </c>
      <c r="AC194" s="4">
        <v>0.669745028385</v>
      </c>
      <c r="AD194" s="47">
        <v>41700.0</v>
      </c>
      <c r="AE194" t="str">
        <f t="shared" si="14"/>
        <v>2009-12</v>
      </c>
      <c r="AF194" t="str">
        <f t="shared" si="15"/>
        <v>2014-03</v>
      </c>
      <c r="AG194" s="36">
        <v>41134.0</v>
      </c>
      <c r="AH194" s="4">
        <v>0.679891173981</v>
      </c>
      <c r="AJ194" s="48" t="str">
        <f t="shared" si="16"/>
        <v>2012-08</v>
      </c>
      <c r="AL194" s="36">
        <v>40829.0</v>
      </c>
      <c r="AM194" s="4">
        <v>0.574228391635</v>
      </c>
      <c r="AN194" s="47">
        <v>42442.0</v>
      </c>
      <c r="AO194" s="49" t="str">
        <f t="shared" si="18"/>
        <v>2011-10</v>
      </c>
      <c r="AP194" t="str">
        <f t="shared" si="19"/>
        <v>2016-03</v>
      </c>
    </row>
    <row r="195">
      <c r="A195" s="36">
        <v>40271.0</v>
      </c>
      <c r="B195" s="34">
        <v>0.74230228176</v>
      </c>
      <c r="C195" s="36">
        <v>40881.0</v>
      </c>
      <c r="D195" t="str">
        <f t="shared" si="6"/>
        <v>2010-04</v>
      </c>
      <c r="E195" s="44" t="str">
        <f t="shared" si="7"/>
        <v>2011-12</v>
      </c>
      <c r="F195" s="45">
        <v>3781.0</v>
      </c>
      <c r="G195" s="36">
        <v>40823.0</v>
      </c>
      <c r="H195" s="34">
        <v>0.739601106296</v>
      </c>
      <c r="I195" s="36">
        <v>41806.0</v>
      </c>
      <c r="J195" t="str">
        <f t="shared" si="8"/>
        <v>2011-10</v>
      </c>
      <c r="K195" s="44" t="str">
        <f t="shared" si="9"/>
        <v>2014-06</v>
      </c>
      <c r="L195" s="46">
        <v>41079.0</v>
      </c>
      <c r="M195" s="4">
        <v>0.65918693104</v>
      </c>
      <c r="N195" s="36">
        <v>42108.0</v>
      </c>
      <c r="O195" t="str">
        <f t="shared" si="10"/>
        <v>2012-06</v>
      </c>
      <c r="P195" t="str">
        <f t="shared" si="11"/>
        <v>2015-04</v>
      </c>
      <c r="Q195" s="36">
        <v>41953.0</v>
      </c>
      <c r="R195" s="4">
        <v>0.6717799728</v>
      </c>
      <c r="S195" s="36">
        <v>42698.0</v>
      </c>
      <c r="T195" t="str">
        <f t="shared" si="12"/>
        <v>2014-11</v>
      </c>
      <c r="U195" t="str">
        <f t="shared" si="13"/>
        <v>2016-11</v>
      </c>
      <c r="AB195" s="36">
        <v>40163.0</v>
      </c>
      <c r="AC195" s="4">
        <v>0.791667498875</v>
      </c>
      <c r="AD195" s="47">
        <v>41734.0</v>
      </c>
      <c r="AE195" t="str">
        <f t="shared" si="14"/>
        <v>2009-12</v>
      </c>
      <c r="AF195" t="str">
        <f t="shared" si="15"/>
        <v>2014-04</v>
      </c>
      <c r="AG195" s="36">
        <v>41140.0</v>
      </c>
      <c r="AH195" s="4">
        <v>0.76407501642</v>
      </c>
      <c r="AJ195" s="48" t="str">
        <f t="shared" si="16"/>
        <v>2012-08</v>
      </c>
      <c r="AL195" s="36">
        <v>40830.0</v>
      </c>
      <c r="AM195" s="4">
        <v>0.715623101488</v>
      </c>
      <c r="AN195" s="47">
        <v>42489.0</v>
      </c>
      <c r="AO195" s="49" t="str">
        <f t="shared" si="18"/>
        <v>2011-10</v>
      </c>
      <c r="AP195" t="str">
        <f t="shared" si="19"/>
        <v>2016-04</v>
      </c>
    </row>
    <row r="196">
      <c r="A196" s="36">
        <v>40272.0</v>
      </c>
      <c r="B196" s="34">
        <v>0.676577388743</v>
      </c>
      <c r="C196" s="36">
        <v>40892.0</v>
      </c>
      <c r="D196" t="str">
        <f t="shared" si="6"/>
        <v>2010-04</v>
      </c>
      <c r="E196" s="44" t="str">
        <f t="shared" si="7"/>
        <v>2011-12</v>
      </c>
      <c r="F196" s="45">
        <v>3724.0</v>
      </c>
      <c r="G196" s="36">
        <v>40825.0</v>
      </c>
      <c r="H196" s="34">
        <v>0.975736075795</v>
      </c>
      <c r="I196" s="36">
        <v>41821.0</v>
      </c>
      <c r="J196" t="str">
        <f t="shared" si="8"/>
        <v>2011-10</v>
      </c>
      <c r="K196" s="44" t="str">
        <f t="shared" si="9"/>
        <v>2014-07</v>
      </c>
      <c r="L196" s="46">
        <v>41080.0</v>
      </c>
      <c r="M196" s="4">
        <v>0.611276973463</v>
      </c>
      <c r="N196" s="36">
        <v>42043.0</v>
      </c>
      <c r="O196" t="str">
        <f t="shared" si="10"/>
        <v>2012-06</v>
      </c>
      <c r="P196" t="str">
        <f t="shared" si="11"/>
        <v>2015-02</v>
      </c>
      <c r="Q196" s="36">
        <v>41954.0</v>
      </c>
      <c r="R196" s="4">
        <v>0.921619767198</v>
      </c>
      <c r="S196" s="36">
        <v>42706.0</v>
      </c>
      <c r="T196" t="str">
        <f t="shared" si="12"/>
        <v>2014-11</v>
      </c>
      <c r="U196" t="str">
        <f t="shared" si="13"/>
        <v>2016-12</v>
      </c>
      <c r="AB196" s="36">
        <v>40169.0</v>
      </c>
      <c r="AC196" s="4">
        <v>0.726786795705</v>
      </c>
      <c r="AD196" s="47">
        <v>41758.0</v>
      </c>
      <c r="AE196" t="str">
        <f t="shared" si="14"/>
        <v>2009-12</v>
      </c>
      <c r="AF196" t="str">
        <f t="shared" si="15"/>
        <v>2014-04</v>
      </c>
      <c r="AG196" s="36">
        <v>41141.0</v>
      </c>
      <c r="AH196" s="4">
        <v>0.746753893609</v>
      </c>
      <c r="AJ196" s="48" t="str">
        <f t="shared" si="16"/>
        <v>2012-08</v>
      </c>
      <c r="AL196" s="36">
        <v>40831.0</v>
      </c>
      <c r="AM196" s="4">
        <v>0.836798852048</v>
      </c>
      <c r="AN196" s="47">
        <v>42499.0</v>
      </c>
      <c r="AO196" s="49" t="str">
        <f t="shared" si="18"/>
        <v>2011-10</v>
      </c>
      <c r="AP196" t="str">
        <f t="shared" si="19"/>
        <v>2016-05</v>
      </c>
    </row>
    <row r="197">
      <c r="A197" s="36">
        <v>40273.0</v>
      </c>
      <c r="B197" s="34">
        <v>0.780098033912</v>
      </c>
      <c r="C197" s="36">
        <v>40915.0</v>
      </c>
      <c r="D197" t="str">
        <f t="shared" si="6"/>
        <v>2010-04</v>
      </c>
      <c r="E197" s="44" t="str">
        <f t="shared" si="7"/>
        <v>2012-01</v>
      </c>
      <c r="F197" s="45">
        <v>3632.0</v>
      </c>
      <c r="G197" s="36">
        <v>40830.0</v>
      </c>
      <c r="H197" s="34">
        <v>0.74567124936</v>
      </c>
      <c r="I197" s="36">
        <v>41831.0</v>
      </c>
      <c r="J197" t="str">
        <f t="shared" si="8"/>
        <v>2011-10</v>
      </c>
      <c r="K197" s="44" t="str">
        <f t="shared" si="9"/>
        <v>2014-07</v>
      </c>
      <c r="L197" s="46">
        <v>41081.0</v>
      </c>
      <c r="M197" s="4">
        <v>0.755181299554</v>
      </c>
      <c r="N197" s="36">
        <v>42051.0</v>
      </c>
      <c r="O197" t="str">
        <f t="shared" si="10"/>
        <v>2012-06</v>
      </c>
      <c r="P197" t="str">
        <f t="shared" si="11"/>
        <v>2015-02</v>
      </c>
      <c r="Q197" s="36">
        <v>41955.0</v>
      </c>
      <c r="R197" s="4">
        <v>0.828000076274</v>
      </c>
      <c r="S197" s="36">
        <v>42717.0</v>
      </c>
      <c r="T197" t="str">
        <f t="shared" si="12"/>
        <v>2014-11</v>
      </c>
      <c r="U197" t="str">
        <f t="shared" si="13"/>
        <v>2016-12</v>
      </c>
      <c r="AB197" s="36">
        <v>40176.0</v>
      </c>
      <c r="AC197" s="4">
        <v>0.652272275438</v>
      </c>
      <c r="AD197" s="47">
        <v>41759.0</v>
      </c>
      <c r="AE197" t="str">
        <f t="shared" si="14"/>
        <v>2009-12</v>
      </c>
      <c r="AF197" t="str">
        <f t="shared" si="15"/>
        <v>2014-04</v>
      </c>
      <c r="AG197" s="36">
        <v>41142.0</v>
      </c>
      <c r="AH197" s="4">
        <v>0.498393803416</v>
      </c>
      <c r="AJ197" s="48" t="str">
        <f t="shared" si="16"/>
        <v>2012-08</v>
      </c>
      <c r="AL197" s="36">
        <v>40837.0</v>
      </c>
      <c r="AM197" s="4">
        <v>0.746970851099</v>
      </c>
      <c r="AN197" s="47">
        <v>42520.0</v>
      </c>
      <c r="AO197" s="49" t="str">
        <f t="shared" si="18"/>
        <v>2011-10</v>
      </c>
      <c r="AP197" t="str">
        <f t="shared" si="19"/>
        <v>2016-05</v>
      </c>
    </row>
    <row r="198">
      <c r="A198" s="36">
        <v>40277.0</v>
      </c>
      <c r="B198" s="34">
        <v>0.704363166879</v>
      </c>
      <c r="C198" s="36">
        <v>40928.0</v>
      </c>
      <c r="D198" t="str">
        <f t="shared" si="6"/>
        <v>2010-04</v>
      </c>
      <c r="E198" s="44" t="str">
        <f t="shared" si="7"/>
        <v>2012-01</v>
      </c>
      <c r="F198" s="45">
        <v>3576.0</v>
      </c>
      <c r="G198" s="36">
        <v>40831.0</v>
      </c>
      <c r="H198" s="34">
        <v>0.488877968654</v>
      </c>
      <c r="I198" s="36">
        <v>41838.0</v>
      </c>
      <c r="J198" t="str">
        <f t="shared" si="8"/>
        <v>2011-10</v>
      </c>
      <c r="K198" s="44" t="str">
        <f t="shared" si="9"/>
        <v>2014-07</v>
      </c>
      <c r="L198" s="46">
        <v>41084.0</v>
      </c>
      <c r="M198" s="4">
        <v>0.595671064159</v>
      </c>
      <c r="N198" s="36">
        <v>42060.0</v>
      </c>
      <c r="O198" t="str">
        <f t="shared" si="10"/>
        <v>2012-06</v>
      </c>
      <c r="P198" t="str">
        <f t="shared" si="11"/>
        <v>2015-02</v>
      </c>
      <c r="Q198" s="36">
        <v>41956.0</v>
      </c>
      <c r="R198" s="4">
        <v>0.463732446113</v>
      </c>
      <c r="S198" s="36">
        <v>42717.0</v>
      </c>
      <c r="T198" t="str">
        <f t="shared" si="12"/>
        <v>2014-11</v>
      </c>
      <c r="U198" t="str">
        <f t="shared" si="13"/>
        <v>2016-12</v>
      </c>
      <c r="AB198" s="36">
        <v>40177.0</v>
      </c>
      <c r="AC198" s="4">
        <v>0.69530868089</v>
      </c>
      <c r="AD198" s="47">
        <v>41777.0</v>
      </c>
      <c r="AE198" t="str">
        <f t="shared" si="14"/>
        <v>2009-12</v>
      </c>
      <c r="AF198" t="str">
        <f t="shared" si="15"/>
        <v>2014-05</v>
      </c>
      <c r="AG198" s="36">
        <v>41147.0</v>
      </c>
      <c r="AH198" s="4">
        <v>0.74238012277</v>
      </c>
      <c r="AJ198" s="48" t="str">
        <f t="shared" si="16"/>
        <v>2012-08</v>
      </c>
      <c r="AL198" s="36">
        <v>40838.0</v>
      </c>
      <c r="AM198" s="4">
        <v>0.752160772321</v>
      </c>
      <c r="AN198" s="47">
        <v>41554.0</v>
      </c>
      <c r="AO198" s="49" t="str">
        <f t="shared" si="18"/>
        <v>2011-10</v>
      </c>
      <c r="AP198" t="str">
        <f t="shared" si="19"/>
        <v>2013-10</v>
      </c>
    </row>
    <row r="199">
      <c r="A199" s="36">
        <v>40278.0</v>
      </c>
      <c r="B199" s="34">
        <v>0.687435974183</v>
      </c>
      <c r="C199" s="36">
        <v>40936.0</v>
      </c>
      <c r="D199" t="str">
        <f t="shared" si="6"/>
        <v>2010-04</v>
      </c>
      <c r="E199" s="44" t="str">
        <f t="shared" si="7"/>
        <v>2012-01</v>
      </c>
      <c r="F199" s="45">
        <v>3540.0</v>
      </c>
      <c r="G199" s="36">
        <v>40832.0</v>
      </c>
      <c r="H199" s="34">
        <v>0.733207518476</v>
      </c>
      <c r="I199" s="36">
        <v>41845.0</v>
      </c>
      <c r="J199" t="str">
        <f t="shared" si="8"/>
        <v>2011-10</v>
      </c>
      <c r="K199" s="44" t="str">
        <f t="shared" si="9"/>
        <v>2014-07</v>
      </c>
      <c r="L199" s="46">
        <v>41085.0</v>
      </c>
      <c r="M199" s="4">
        <v>0.5864878287</v>
      </c>
      <c r="N199" s="36">
        <v>42064.0</v>
      </c>
      <c r="O199" t="str">
        <f t="shared" si="10"/>
        <v>2012-06</v>
      </c>
      <c r="P199" t="str">
        <f t="shared" si="11"/>
        <v>2015-03</v>
      </c>
      <c r="Q199" s="36">
        <v>41960.0</v>
      </c>
      <c r="R199" s="4">
        <v>0.713331251804</v>
      </c>
      <c r="S199" s="36">
        <v>42728.0</v>
      </c>
      <c r="T199" t="str">
        <f t="shared" si="12"/>
        <v>2014-11</v>
      </c>
      <c r="U199" t="str">
        <f t="shared" si="13"/>
        <v>2016-12</v>
      </c>
      <c r="AB199" s="36">
        <v>40183.0</v>
      </c>
      <c r="AC199" s="4">
        <v>0.683640066177</v>
      </c>
      <c r="AD199" s="47">
        <v>41740.0</v>
      </c>
      <c r="AE199" t="str">
        <f t="shared" si="14"/>
        <v>2010-01</v>
      </c>
      <c r="AF199" t="str">
        <f t="shared" si="15"/>
        <v>2014-04</v>
      </c>
      <c r="AG199" s="36">
        <v>41148.0</v>
      </c>
      <c r="AH199" s="4">
        <v>0.765798111557</v>
      </c>
      <c r="AJ199" s="48" t="str">
        <f t="shared" si="16"/>
        <v>2012-08</v>
      </c>
      <c r="AL199" s="36">
        <v>40844.0</v>
      </c>
      <c r="AM199" s="4">
        <v>0.704355757218</v>
      </c>
      <c r="AN199" s="47">
        <v>41577.0</v>
      </c>
      <c r="AO199" s="49" t="str">
        <f t="shared" si="18"/>
        <v>2011-10</v>
      </c>
      <c r="AP199" t="str">
        <f t="shared" si="19"/>
        <v>2013-10</v>
      </c>
    </row>
    <row r="200">
      <c r="A200" s="36">
        <v>40279.0</v>
      </c>
      <c r="B200" s="34">
        <v>0.576290569555</v>
      </c>
      <c r="C200" s="36">
        <v>40942.0</v>
      </c>
      <c r="D200" t="str">
        <f t="shared" si="6"/>
        <v>2010-04</v>
      </c>
      <c r="E200" s="44" t="str">
        <f t="shared" si="7"/>
        <v>2012-02</v>
      </c>
      <c r="F200" s="45">
        <v>3471.0</v>
      </c>
      <c r="G200" s="36">
        <v>40836.0</v>
      </c>
      <c r="H200" s="34">
        <v>0.552279587011</v>
      </c>
      <c r="I200" s="36">
        <v>41863.0</v>
      </c>
      <c r="J200" t="str">
        <f t="shared" si="8"/>
        <v>2011-10</v>
      </c>
      <c r="K200" s="44" t="str">
        <f t="shared" si="9"/>
        <v>2014-08</v>
      </c>
      <c r="L200" s="46">
        <v>41086.0</v>
      </c>
      <c r="M200" s="4">
        <v>0.64766982503</v>
      </c>
      <c r="N200" s="36">
        <v>42072.0</v>
      </c>
      <c r="O200" t="str">
        <f t="shared" si="10"/>
        <v>2012-06</v>
      </c>
      <c r="P200" t="str">
        <f t="shared" si="11"/>
        <v>2015-03</v>
      </c>
      <c r="Q200" s="36">
        <v>41961.0</v>
      </c>
      <c r="R200" s="4">
        <v>0.765243899921</v>
      </c>
      <c r="S200" s="36">
        <v>42732.0</v>
      </c>
      <c r="T200" t="str">
        <f t="shared" si="12"/>
        <v>2014-11</v>
      </c>
      <c r="U200" t="str">
        <f t="shared" si="13"/>
        <v>2016-12</v>
      </c>
      <c r="AB200" s="36">
        <v>40184.0</v>
      </c>
      <c r="AC200" s="4">
        <v>0.709211606372</v>
      </c>
      <c r="AD200" s="47">
        <v>41756.0</v>
      </c>
      <c r="AE200" t="str">
        <f t="shared" si="14"/>
        <v>2010-01</v>
      </c>
      <c r="AF200" t="str">
        <f t="shared" si="15"/>
        <v>2014-04</v>
      </c>
      <c r="AG200" s="36">
        <v>41149.0</v>
      </c>
      <c r="AH200" s="4">
        <v>0.806388907126</v>
      </c>
      <c r="AJ200" s="48" t="str">
        <f t="shared" si="16"/>
        <v>2012-08</v>
      </c>
      <c r="AL200" s="36">
        <v>40845.0</v>
      </c>
      <c r="AM200" s="4">
        <v>0.753371852375</v>
      </c>
      <c r="AN200" s="47">
        <v>41603.0</v>
      </c>
      <c r="AO200" s="49" t="str">
        <f t="shared" si="18"/>
        <v>2011-10</v>
      </c>
      <c r="AP200" t="str">
        <f t="shared" si="19"/>
        <v>2013-11</v>
      </c>
    </row>
    <row r="201">
      <c r="A201" s="36">
        <v>40285.0</v>
      </c>
      <c r="B201" s="34">
        <v>0.712666558038</v>
      </c>
      <c r="C201" s="36">
        <v>40956.0</v>
      </c>
      <c r="D201" t="str">
        <f t="shared" si="6"/>
        <v>2010-04</v>
      </c>
      <c r="E201" s="44" t="str">
        <f t="shared" si="7"/>
        <v>2012-02</v>
      </c>
      <c r="F201" s="45">
        <v>3329.0</v>
      </c>
      <c r="G201" s="36">
        <v>40837.0</v>
      </c>
      <c r="H201" s="34">
        <v>0.37796542073</v>
      </c>
      <c r="I201" s="36">
        <v>41873.0</v>
      </c>
      <c r="J201" t="str">
        <f t="shared" si="8"/>
        <v>2011-10</v>
      </c>
      <c r="K201" s="44" t="str">
        <f t="shared" si="9"/>
        <v>2014-08</v>
      </c>
      <c r="L201" s="46">
        <v>41087.0</v>
      </c>
      <c r="M201" s="4">
        <v>0.636181753636</v>
      </c>
      <c r="N201" s="36">
        <v>42091.0</v>
      </c>
      <c r="O201" t="str">
        <f t="shared" si="10"/>
        <v>2012-06</v>
      </c>
      <c r="P201" t="str">
        <f t="shared" si="11"/>
        <v>2015-03</v>
      </c>
      <c r="Q201" s="36">
        <v>41963.0</v>
      </c>
      <c r="R201" s="4">
        <v>0.984691383714</v>
      </c>
      <c r="S201" s="36">
        <v>42751.0</v>
      </c>
      <c r="T201" t="str">
        <f t="shared" si="12"/>
        <v>2014-11</v>
      </c>
      <c r="U201" t="str">
        <f t="shared" si="13"/>
        <v>2017-01</v>
      </c>
      <c r="AB201" s="36">
        <v>40190.0</v>
      </c>
      <c r="AC201" s="4">
        <v>0.712195286041</v>
      </c>
      <c r="AD201" s="47">
        <v>41724.0</v>
      </c>
      <c r="AE201" t="str">
        <f t="shared" si="14"/>
        <v>2010-01</v>
      </c>
      <c r="AF201" t="str">
        <f t="shared" si="15"/>
        <v>2014-03</v>
      </c>
      <c r="AG201" s="36">
        <v>41154.0</v>
      </c>
      <c r="AH201" s="4">
        <v>0.743149101459</v>
      </c>
      <c r="AJ201" s="48" t="str">
        <f t="shared" si="16"/>
        <v>2012-09</v>
      </c>
      <c r="AL201" s="36">
        <v>40851.0</v>
      </c>
      <c r="AM201" s="4">
        <v>0.713062082637</v>
      </c>
      <c r="AN201" s="47">
        <v>41611.0</v>
      </c>
      <c r="AO201" s="49" t="str">
        <f t="shared" si="18"/>
        <v>2011-11</v>
      </c>
      <c r="AP201" t="str">
        <f t="shared" si="19"/>
        <v>2013-12</v>
      </c>
    </row>
    <row r="202">
      <c r="A202" s="36">
        <v>40286.0</v>
      </c>
      <c r="B202" s="34">
        <v>0.651956766066</v>
      </c>
      <c r="C202" s="36">
        <v>40970.0</v>
      </c>
      <c r="D202" t="str">
        <f t="shared" si="6"/>
        <v>2010-04</v>
      </c>
      <c r="E202" s="44" t="str">
        <f t="shared" si="7"/>
        <v>2012-03</v>
      </c>
      <c r="F202" s="45">
        <v>3247.0</v>
      </c>
      <c r="G202" s="36">
        <v>40838.0</v>
      </c>
      <c r="H202" s="34">
        <v>0.627875851128</v>
      </c>
      <c r="I202" s="36">
        <v>41881.0</v>
      </c>
      <c r="J202" t="str">
        <f t="shared" si="8"/>
        <v>2011-10</v>
      </c>
      <c r="K202" s="44" t="str">
        <f t="shared" si="9"/>
        <v>2014-08</v>
      </c>
      <c r="L202" s="46">
        <v>41088.0</v>
      </c>
      <c r="M202" s="4">
        <v>0.637339055113</v>
      </c>
      <c r="N202" s="36">
        <v>42098.0</v>
      </c>
      <c r="O202" t="str">
        <f t="shared" si="10"/>
        <v>2012-06</v>
      </c>
      <c r="P202" t="str">
        <f t="shared" si="11"/>
        <v>2015-04</v>
      </c>
      <c r="Q202" s="36">
        <v>41967.0</v>
      </c>
      <c r="R202" s="4">
        <v>0.770575401869</v>
      </c>
      <c r="S202" s="36">
        <v>42752.0</v>
      </c>
      <c r="T202" t="str">
        <f t="shared" si="12"/>
        <v>2014-11</v>
      </c>
      <c r="U202" t="str">
        <f t="shared" si="13"/>
        <v>2017-01</v>
      </c>
      <c r="AB202" s="36">
        <v>40191.0</v>
      </c>
      <c r="AC202" s="4">
        <v>0.773525393399</v>
      </c>
      <c r="AD202" s="47">
        <v>41772.0</v>
      </c>
      <c r="AE202" t="str">
        <f t="shared" si="14"/>
        <v>2010-01</v>
      </c>
      <c r="AF202" t="str">
        <f t="shared" si="15"/>
        <v>2014-05</v>
      </c>
      <c r="AG202" s="36">
        <v>41155.0</v>
      </c>
      <c r="AH202" s="4">
        <v>0.738130624703</v>
      </c>
      <c r="AJ202" s="48" t="str">
        <f t="shared" si="16"/>
        <v>2012-09</v>
      </c>
      <c r="AL202" s="36">
        <v>40852.0</v>
      </c>
      <c r="AM202" s="4">
        <v>0.49853012633</v>
      </c>
      <c r="AN202" s="47">
        <v>41644.0</v>
      </c>
      <c r="AO202" s="49" t="str">
        <f t="shared" si="18"/>
        <v>2011-11</v>
      </c>
      <c r="AP202" t="str">
        <f t="shared" si="19"/>
        <v>2014-01</v>
      </c>
    </row>
    <row r="203">
      <c r="A203" s="36">
        <v>40292.0</v>
      </c>
      <c r="B203" s="34">
        <v>0.725849171353</v>
      </c>
      <c r="C203" s="36">
        <v>40983.0</v>
      </c>
      <c r="D203" t="str">
        <f t="shared" si="6"/>
        <v>2010-04</v>
      </c>
      <c r="E203" s="44" t="str">
        <f t="shared" si="7"/>
        <v>2012-03</v>
      </c>
      <c r="F203" s="45">
        <v>3155.0</v>
      </c>
      <c r="G203" s="36">
        <v>40839.0</v>
      </c>
      <c r="H203" s="34">
        <v>0.800903128412</v>
      </c>
      <c r="I203" s="36">
        <v>41891.0</v>
      </c>
      <c r="J203" t="str">
        <f t="shared" si="8"/>
        <v>2011-10</v>
      </c>
      <c r="K203" s="44" t="str">
        <f t="shared" si="9"/>
        <v>2014-09</v>
      </c>
      <c r="L203" s="46">
        <v>41091.0</v>
      </c>
      <c r="M203" s="4">
        <v>0.944999305513</v>
      </c>
      <c r="N203" s="36">
        <v>42108.0</v>
      </c>
      <c r="O203" t="str">
        <f t="shared" si="10"/>
        <v>2012-07</v>
      </c>
      <c r="P203" t="str">
        <f t="shared" si="11"/>
        <v>2015-04</v>
      </c>
      <c r="Q203" s="36">
        <v>41969.0</v>
      </c>
      <c r="R203" s="4">
        <v>0.643083615633</v>
      </c>
      <c r="S203" s="36">
        <v>42790.0</v>
      </c>
      <c r="T203" t="str">
        <f t="shared" si="12"/>
        <v>2014-11</v>
      </c>
      <c r="U203" t="str">
        <f t="shared" si="13"/>
        <v>2017-02</v>
      </c>
      <c r="AB203" s="36">
        <v>40197.0</v>
      </c>
      <c r="AC203" s="4">
        <v>0.773087084224</v>
      </c>
      <c r="AD203" s="47">
        <v>41777.0</v>
      </c>
      <c r="AE203" t="str">
        <f t="shared" si="14"/>
        <v>2010-01</v>
      </c>
      <c r="AF203" t="str">
        <f t="shared" si="15"/>
        <v>2014-05</v>
      </c>
      <c r="AG203" s="36">
        <v>41161.0</v>
      </c>
      <c r="AH203" s="4">
        <v>0.767363411775</v>
      </c>
      <c r="AJ203" s="48" t="str">
        <f t="shared" si="16"/>
        <v>2012-09</v>
      </c>
      <c r="AL203" s="36">
        <v>40858.0</v>
      </c>
      <c r="AM203" s="4">
        <v>0.718731870416</v>
      </c>
      <c r="AN203" s="47">
        <v>41682.0</v>
      </c>
      <c r="AO203" s="49" t="str">
        <f t="shared" si="18"/>
        <v>2011-11</v>
      </c>
      <c r="AP203" t="str">
        <f t="shared" si="19"/>
        <v>2014-02</v>
      </c>
    </row>
    <row r="204">
      <c r="A204" s="36">
        <v>40293.0</v>
      </c>
      <c r="B204" s="34">
        <v>0.75462471121</v>
      </c>
      <c r="C204" s="36">
        <v>40991.0</v>
      </c>
      <c r="D204" t="str">
        <f t="shared" si="6"/>
        <v>2010-04</v>
      </c>
      <c r="E204" s="44" t="str">
        <f t="shared" si="7"/>
        <v>2012-03</v>
      </c>
      <c r="F204" s="45">
        <v>3109.0</v>
      </c>
      <c r="G204" s="36">
        <v>40844.0</v>
      </c>
      <c r="H204" s="34">
        <v>0.728176213587</v>
      </c>
      <c r="I204" s="36">
        <v>41898.0</v>
      </c>
      <c r="J204" t="str">
        <f t="shared" si="8"/>
        <v>2011-10</v>
      </c>
      <c r="K204" s="44" t="str">
        <f t="shared" si="9"/>
        <v>2014-09</v>
      </c>
      <c r="L204" s="46">
        <v>41092.0</v>
      </c>
      <c r="M204" s="4">
        <v>0.600102853439</v>
      </c>
      <c r="N204" s="36">
        <v>42108.0</v>
      </c>
      <c r="O204" t="str">
        <f t="shared" si="10"/>
        <v>2012-07</v>
      </c>
      <c r="P204" t="str">
        <f t="shared" si="11"/>
        <v>2015-04</v>
      </c>
      <c r="Q204" s="36">
        <v>41970.0</v>
      </c>
      <c r="R204" s="4">
        <v>0.70127637393</v>
      </c>
      <c r="S204" s="36">
        <v>42791.0</v>
      </c>
      <c r="T204" t="str">
        <f t="shared" si="12"/>
        <v>2014-11</v>
      </c>
      <c r="U204" t="str">
        <f t="shared" si="13"/>
        <v>2017-02</v>
      </c>
      <c r="AB204" s="36">
        <v>40204.0</v>
      </c>
      <c r="AC204" s="4">
        <v>0.709275721566</v>
      </c>
      <c r="AD204" s="47">
        <v>41805.0</v>
      </c>
      <c r="AE204" t="str">
        <f t="shared" si="14"/>
        <v>2010-01</v>
      </c>
      <c r="AF204" t="str">
        <f t="shared" si="15"/>
        <v>2014-06</v>
      </c>
      <c r="AG204" s="36">
        <v>41162.0</v>
      </c>
      <c r="AH204" s="4">
        <v>0.737487467778</v>
      </c>
      <c r="AJ204" s="48" t="str">
        <f t="shared" si="16"/>
        <v>2012-09</v>
      </c>
      <c r="AL204" s="36">
        <v>40859.0</v>
      </c>
      <c r="AM204" s="4">
        <v>0.769346183924</v>
      </c>
      <c r="AN204" s="47">
        <v>41733.0</v>
      </c>
      <c r="AO204" s="49" t="str">
        <f t="shared" si="18"/>
        <v>2011-11</v>
      </c>
      <c r="AP204" t="str">
        <f t="shared" si="19"/>
        <v>2014-04</v>
      </c>
    </row>
    <row r="205">
      <c r="A205" s="36">
        <v>40294.0</v>
      </c>
      <c r="B205" s="34">
        <v>0.665205077506</v>
      </c>
      <c r="C205" s="36">
        <v>41008.0</v>
      </c>
      <c r="D205" t="str">
        <f t="shared" si="6"/>
        <v>2010-04</v>
      </c>
      <c r="E205" s="44" t="str">
        <f t="shared" si="7"/>
        <v>2012-04</v>
      </c>
      <c r="F205" s="45">
        <v>3065.0</v>
      </c>
      <c r="G205" s="36">
        <v>40845.0</v>
      </c>
      <c r="H205" s="34">
        <v>0.720944421729</v>
      </c>
      <c r="I205" s="36">
        <v>41906.0</v>
      </c>
      <c r="J205" t="str">
        <f t="shared" si="8"/>
        <v>2011-10</v>
      </c>
      <c r="K205" s="44" t="str">
        <f t="shared" si="9"/>
        <v>2014-09</v>
      </c>
      <c r="L205" s="46">
        <v>41093.0</v>
      </c>
      <c r="M205" s="4">
        <v>0.682315512036</v>
      </c>
      <c r="N205" s="36">
        <v>42384.0</v>
      </c>
      <c r="O205" t="str">
        <f t="shared" si="10"/>
        <v>2012-07</v>
      </c>
      <c r="P205" t="str">
        <f t="shared" si="11"/>
        <v>2016-01</v>
      </c>
      <c r="Q205" s="36">
        <v>41974.0</v>
      </c>
      <c r="R205" s="4">
        <v>0.678099576416</v>
      </c>
      <c r="S205" s="36">
        <v>42792.0</v>
      </c>
      <c r="T205" t="str">
        <f t="shared" si="12"/>
        <v>2014-12</v>
      </c>
      <c r="U205" t="str">
        <f t="shared" si="13"/>
        <v>2017-02</v>
      </c>
      <c r="AB205" s="36">
        <v>40205.0</v>
      </c>
      <c r="AC205" s="4">
        <v>0.727178814996</v>
      </c>
      <c r="AD205" s="47">
        <v>41841.0</v>
      </c>
      <c r="AE205" t="str">
        <f t="shared" si="14"/>
        <v>2010-01</v>
      </c>
      <c r="AF205" t="str">
        <f t="shared" si="15"/>
        <v>2014-07</v>
      </c>
      <c r="AG205" s="36">
        <v>41163.0</v>
      </c>
      <c r="AH205" s="4">
        <v>0.889151588845</v>
      </c>
      <c r="AJ205" s="48" t="str">
        <f t="shared" si="16"/>
        <v>2012-09</v>
      </c>
      <c r="AL205" s="36">
        <v>40865.0</v>
      </c>
      <c r="AM205" s="4">
        <v>0.760803379981</v>
      </c>
      <c r="AN205" s="47">
        <v>41756.0</v>
      </c>
      <c r="AO205" s="49" t="str">
        <f t="shared" si="18"/>
        <v>2011-11</v>
      </c>
      <c r="AP205" t="str">
        <f t="shared" si="19"/>
        <v>2014-04</v>
      </c>
    </row>
    <row r="206">
      <c r="A206" s="36">
        <v>40298.0</v>
      </c>
      <c r="B206" s="34">
        <v>0.874115413594</v>
      </c>
      <c r="C206" s="36">
        <v>41029.0</v>
      </c>
      <c r="D206" t="str">
        <f t="shared" si="6"/>
        <v>2010-04</v>
      </c>
      <c r="E206" s="44" t="str">
        <f t="shared" si="7"/>
        <v>2012-04</v>
      </c>
      <c r="F206" s="45">
        <v>3022.0</v>
      </c>
      <c r="G206" s="36">
        <v>40850.0</v>
      </c>
      <c r="H206" s="34">
        <v>0.700111915769</v>
      </c>
      <c r="I206" s="36">
        <v>41914.0</v>
      </c>
      <c r="J206" t="str">
        <f t="shared" si="8"/>
        <v>2011-11</v>
      </c>
      <c r="K206" s="44" t="str">
        <f t="shared" si="9"/>
        <v>2014-10</v>
      </c>
      <c r="L206" s="46">
        <v>41094.0</v>
      </c>
      <c r="M206" s="4">
        <v>0.766836944226</v>
      </c>
      <c r="N206" s="36">
        <v>42091.0</v>
      </c>
      <c r="O206" t="str">
        <f t="shared" si="10"/>
        <v>2012-07</v>
      </c>
      <c r="P206" t="str">
        <f t="shared" si="11"/>
        <v>2015-03</v>
      </c>
      <c r="Q206" s="36">
        <v>41975.0</v>
      </c>
      <c r="R206" s="4">
        <v>0.569077608714</v>
      </c>
      <c r="S206" s="36">
        <v>42792.0</v>
      </c>
      <c r="T206" t="str">
        <f t="shared" si="12"/>
        <v>2014-12</v>
      </c>
      <c r="U206" t="str">
        <f t="shared" si="13"/>
        <v>2017-02</v>
      </c>
      <c r="AB206" s="36">
        <v>40211.0</v>
      </c>
      <c r="AC206" s="4">
        <v>0.715397939679</v>
      </c>
      <c r="AD206" s="47">
        <v>41884.0</v>
      </c>
      <c r="AE206" t="str">
        <f t="shared" si="14"/>
        <v>2010-02</v>
      </c>
      <c r="AF206" t="str">
        <f t="shared" si="15"/>
        <v>2014-09</v>
      </c>
      <c r="AG206" s="36">
        <v>41168.0</v>
      </c>
      <c r="AH206" s="4">
        <v>0.737554710401</v>
      </c>
      <c r="AJ206" s="48" t="str">
        <f t="shared" si="16"/>
        <v>2012-09</v>
      </c>
      <c r="AL206" s="36">
        <v>40866.0</v>
      </c>
      <c r="AM206" s="4">
        <v>0.396387254418</v>
      </c>
      <c r="AN206" s="47">
        <v>41781.0</v>
      </c>
      <c r="AO206" s="49" t="str">
        <f t="shared" si="18"/>
        <v>2011-11</v>
      </c>
      <c r="AP206" t="str">
        <f t="shared" si="19"/>
        <v>2014-05</v>
      </c>
    </row>
    <row r="207">
      <c r="A207" s="36">
        <v>40299.0</v>
      </c>
      <c r="B207" s="34">
        <v>0.613784236674</v>
      </c>
      <c r="C207" s="36">
        <v>41033.0</v>
      </c>
      <c r="D207" t="str">
        <f t="shared" si="6"/>
        <v>2010-05</v>
      </c>
      <c r="E207" s="44" t="str">
        <f t="shared" si="7"/>
        <v>2012-05</v>
      </c>
      <c r="F207" s="45">
        <v>2949.0</v>
      </c>
      <c r="G207" s="36">
        <v>40852.0</v>
      </c>
      <c r="H207" s="34">
        <v>0.705066320676</v>
      </c>
      <c r="I207" s="36">
        <v>41920.0</v>
      </c>
      <c r="J207" t="str">
        <f t="shared" si="8"/>
        <v>2011-11</v>
      </c>
      <c r="K207" s="44" t="str">
        <f t="shared" si="9"/>
        <v>2014-10</v>
      </c>
      <c r="L207" s="46">
        <v>41095.0</v>
      </c>
      <c r="M207" s="4">
        <v>0.473337722903</v>
      </c>
      <c r="N207" s="36">
        <v>42108.0</v>
      </c>
      <c r="O207" t="str">
        <f t="shared" si="10"/>
        <v>2012-07</v>
      </c>
      <c r="P207" t="str">
        <f t="shared" si="11"/>
        <v>2015-04</v>
      </c>
      <c r="Q207" s="36">
        <v>41976.0</v>
      </c>
      <c r="R207" s="4">
        <v>0.687670955098</v>
      </c>
      <c r="S207" s="36">
        <v>42803.0</v>
      </c>
      <c r="T207" t="str">
        <f t="shared" si="12"/>
        <v>2014-12</v>
      </c>
      <c r="U207" t="str">
        <f t="shared" si="13"/>
        <v>2017-03</v>
      </c>
      <c r="AB207" s="36">
        <v>40212.0</v>
      </c>
      <c r="AC207" s="4">
        <v>0.855076293124</v>
      </c>
      <c r="AD207" s="47">
        <v>41917.0</v>
      </c>
      <c r="AE207" t="str">
        <f t="shared" si="14"/>
        <v>2010-02</v>
      </c>
      <c r="AF207" t="str">
        <f t="shared" si="15"/>
        <v>2014-10</v>
      </c>
      <c r="AG207" s="36">
        <v>41169.0</v>
      </c>
      <c r="AH207" s="4">
        <v>0.658915267193</v>
      </c>
      <c r="AJ207" s="48" t="str">
        <f t="shared" si="16"/>
        <v>2012-09</v>
      </c>
      <c r="AL207" s="36">
        <v>40872.0</v>
      </c>
      <c r="AM207" s="4">
        <v>0.730585605615</v>
      </c>
      <c r="AN207" s="47">
        <v>41790.0</v>
      </c>
      <c r="AO207" s="49" t="str">
        <f t="shared" si="18"/>
        <v>2011-11</v>
      </c>
      <c r="AP207" t="str">
        <f t="shared" si="19"/>
        <v>2014-05</v>
      </c>
    </row>
    <row r="208">
      <c r="A208" s="36">
        <v>40300.0</v>
      </c>
      <c r="B208" s="34">
        <v>0.636308241131</v>
      </c>
      <c r="C208" s="36">
        <v>41044.0</v>
      </c>
      <c r="D208" t="str">
        <f t="shared" si="6"/>
        <v>2010-05</v>
      </c>
      <c r="E208" s="44" t="str">
        <f t="shared" si="7"/>
        <v>2012-05</v>
      </c>
      <c r="F208" s="45">
        <v>2880.0</v>
      </c>
      <c r="G208" s="36">
        <v>40853.0</v>
      </c>
      <c r="H208" s="34">
        <v>0.641949274615</v>
      </c>
      <c r="I208" s="36">
        <v>41925.0</v>
      </c>
      <c r="J208" t="str">
        <f t="shared" si="8"/>
        <v>2011-11</v>
      </c>
      <c r="K208" s="44" t="str">
        <f t="shared" si="9"/>
        <v>2014-10</v>
      </c>
      <c r="L208" s="46">
        <v>41098.0</v>
      </c>
      <c r="M208" s="4">
        <v>0.674896047112</v>
      </c>
      <c r="N208" s="36">
        <v>42126.0</v>
      </c>
      <c r="O208" t="str">
        <f t="shared" si="10"/>
        <v>2012-07</v>
      </c>
      <c r="P208" t="str">
        <f t="shared" si="11"/>
        <v>2015-05</v>
      </c>
      <c r="Q208" s="36">
        <v>41977.0</v>
      </c>
      <c r="R208" s="4">
        <v>0.755224917356</v>
      </c>
      <c r="S208" s="36">
        <v>42807.0</v>
      </c>
      <c r="T208" t="str">
        <f t="shared" si="12"/>
        <v>2014-12</v>
      </c>
      <c r="U208" t="str">
        <f t="shared" si="13"/>
        <v>2017-03</v>
      </c>
      <c r="AB208" s="36">
        <v>40218.0</v>
      </c>
      <c r="AC208" s="4">
        <v>0.75411320112</v>
      </c>
      <c r="AD208" s="47">
        <v>41951.0</v>
      </c>
      <c r="AE208" t="str">
        <f t="shared" si="14"/>
        <v>2010-02</v>
      </c>
      <c r="AF208" t="str">
        <f t="shared" si="15"/>
        <v>2014-11</v>
      </c>
      <c r="AG208" s="36">
        <v>41170.0</v>
      </c>
      <c r="AH208" s="4">
        <v>0.648709046844</v>
      </c>
      <c r="AJ208" s="48" t="str">
        <f t="shared" si="16"/>
        <v>2012-09</v>
      </c>
      <c r="AL208" s="36">
        <v>40873.0</v>
      </c>
      <c r="AM208" s="4">
        <v>0.805377957803</v>
      </c>
      <c r="AN208" s="47">
        <v>41828.0</v>
      </c>
      <c r="AO208" s="49" t="str">
        <f t="shared" si="18"/>
        <v>2011-11</v>
      </c>
      <c r="AP208" t="str">
        <f t="shared" si="19"/>
        <v>2014-07</v>
      </c>
    </row>
    <row r="209">
      <c r="A209" s="36">
        <v>40301.0</v>
      </c>
      <c r="B209" s="34">
        <v>0.847308073194</v>
      </c>
      <c r="C209" s="36">
        <v>41066.0</v>
      </c>
      <c r="D209" t="str">
        <f t="shared" si="6"/>
        <v>2010-05</v>
      </c>
      <c r="E209" s="44" t="str">
        <f t="shared" si="7"/>
        <v>2012-06</v>
      </c>
      <c r="F209" s="45">
        <v>2769.0</v>
      </c>
      <c r="G209" s="36">
        <v>40857.0</v>
      </c>
      <c r="H209" s="34">
        <v>0.32399810656</v>
      </c>
      <c r="I209" s="36">
        <v>41943.0</v>
      </c>
      <c r="J209" t="str">
        <f t="shared" si="8"/>
        <v>2011-11</v>
      </c>
      <c r="K209" s="44" t="str">
        <f t="shared" si="9"/>
        <v>2014-10</v>
      </c>
      <c r="L209" s="46">
        <v>41099.0</v>
      </c>
      <c r="M209" s="4">
        <v>0.672880522979</v>
      </c>
      <c r="N209" s="36">
        <v>42138.0</v>
      </c>
      <c r="O209" t="str">
        <f t="shared" si="10"/>
        <v>2012-07</v>
      </c>
      <c r="P209" t="str">
        <f t="shared" si="11"/>
        <v>2015-05</v>
      </c>
      <c r="Q209" s="36">
        <v>41981.0</v>
      </c>
      <c r="R209" s="4">
        <v>0.773620659561</v>
      </c>
      <c r="S209" s="36">
        <v>42807.0</v>
      </c>
      <c r="T209" t="str">
        <f t="shared" si="12"/>
        <v>2014-12</v>
      </c>
      <c r="U209" t="str">
        <f t="shared" si="13"/>
        <v>2017-03</v>
      </c>
      <c r="AB209" s="36">
        <v>40219.0</v>
      </c>
      <c r="AC209" s="4">
        <v>0.584355469273</v>
      </c>
      <c r="AD209" s="47">
        <v>41982.0</v>
      </c>
      <c r="AE209" t="str">
        <f t="shared" si="14"/>
        <v>2010-02</v>
      </c>
      <c r="AF209" t="str">
        <f t="shared" si="15"/>
        <v>2014-12</v>
      </c>
      <c r="AG209" s="36">
        <v>41175.0</v>
      </c>
      <c r="AH209" s="4">
        <v>0.704813783687</v>
      </c>
      <c r="AJ209" s="48" t="str">
        <f t="shared" si="16"/>
        <v>2012-09</v>
      </c>
      <c r="AL209" s="36">
        <v>40879.0</v>
      </c>
      <c r="AM209" s="4">
        <v>0.72597440433</v>
      </c>
      <c r="AN209" s="47">
        <v>41835.0</v>
      </c>
      <c r="AO209" s="49" t="str">
        <f t="shared" si="18"/>
        <v>2011-12</v>
      </c>
      <c r="AP209" t="str">
        <f t="shared" si="19"/>
        <v>2014-07</v>
      </c>
    </row>
    <row r="210">
      <c r="A210" s="36">
        <v>40305.0</v>
      </c>
      <c r="B210" s="34">
        <v>0.589847398941</v>
      </c>
      <c r="C210" s="36">
        <v>41101.0</v>
      </c>
      <c r="D210" t="str">
        <f t="shared" si="6"/>
        <v>2010-05</v>
      </c>
      <c r="E210" s="44" t="str">
        <f t="shared" si="7"/>
        <v>2012-07</v>
      </c>
      <c r="F210" s="45">
        <v>2741.0</v>
      </c>
      <c r="G210" s="36">
        <v>40859.0</v>
      </c>
      <c r="H210" s="34">
        <v>0.611281532683</v>
      </c>
      <c r="I210" s="36">
        <v>41950.0</v>
      </c>
      <c r="J210" t="str">
        <f t="shared" si="8"/>
        <v>2011-11</v>
      </c>
      <c r="K210" s="44" t="str">
        <f t="shared" si="9"/>
        <v>2014-11</v>
      </c>
      <c r="L210" s="46">
        <v>41100.0</v>
      </c>
      <c r="M210" s="4">
        <v>0.625086655794</v>
      </c>
      <c r="N210" s="36">
        <v>42156.0</v>
      </c>
      <c r="O210" t="str">
        <f t="shared" si="10"/>
        <v>2012-07</v>
      </c>
      <c r="P210" t="str">
        <f t="shared" si="11"/>
        <v>2015-06</v>
      </c>
      <c r="Q210" s="36">
        <v>41982.0</v>
      </c>
      <c r="R210" s="4">
        <v>0.888345237029</v>
      </c>
      <c r="S210" s="36">
        <v>42818.0</v>
      </c>
      <c r="T210" t="str">
        <f t="shared" si="12"/>
        <v>2014-12</v>
      </c>
      <c r="U210" t="str">
        <f t="shared" si="13"/>
        <v>2017-03</v>
      </c>
      <c r="AB210" s="36">
        <v>40225.0</v>
      </c>
      <c r="AC210" s="4">
        <v>0.777708661843</v>
      </c>
      <c r="AD210" s="47">
        <v>41996.0</v>
      </c>
      <c r="AE210" t="str">
        <f t="shared" si="14"/>
        <v>2010-02</v>
      </c>
      <c r="AF210" t="str">
        <f t="shared" si="15"/>
        <v>2014-12</v>
      </c>
      <c r="AG210" s="36">
        <v>41176.0</v>
      </c>
      <c r="AH210" s="4">
        <v>0.78543108219</v>
      </c>
      <c r="AJ210" s="48" t="str">
        <f t="shared" si="16"/>
        <v>2012-09</v>
      </c>
      <c r="AL210" s="36">
        <v>40880.0</v>
      </c>
      <c r="AM210" s="4">
        <v>0.829581983574</v>
      </c>
      <c r="AN210" s="47">
        <v>41885.0</v>
      </c>
      <c r="AO210" s="49" t="str">
        <f t="shared" si="18"/>
        <v>2011-12</v>
      </c>
      <c r="AP210" t="str">
        <f t="shared" si="19"/>
        <v>2014-09</v>
      </c>
    </row>
    <row r="211">
      <c r="A211" s="36">
        <v>40306.0</v>
      </c>
      <c r="B211" s="34">
        <v>0.701859426871</v>
      </c>
      <c r="C211" s="36">
        <v>41124.0</v>
      </c>
      <c r="D211" t="str">
        <f t="shared" si="6"/>
        <v>2010-05</v>
      </c>
      <c r="E211" s="44" t="str">
        <f t="shared" si="7"/>
        <v>2012-08</v>
      </c>
      <c r="F211" s="45">
        <v>2688.0</v>
      </c>
      <c r="G211" s="36">
        <v>40860.0</v>
      </c>
      <c r="H211" s="34">
        <v>0.576656911488</v>
      </c>
      <c r="I211" s="36">
        <v>41961.0</v>
      </c>
      <c r="J211" t="str">
        <f t="shared" si="8"/>
        <v>2011-11</v>
      </c>
      <c r="K211" s="44" t="str">
        <f t="shared" si="9"/>
        <v>2014-11</v>
      </c>
      <c r="L211" s="46">
        <v>41101.0</v>
      </c>
      <c r="M211" s="4">
        <v>0.744756421057</v>
      </c>
      <c r="N211" s="36">
        <v>42383.0</v>
      </c>
      <c r="O211" t="str">
        <f t="shared" si="10"/>
        <v>2012-07</v>
      </c>
      <c r="P211" t="str">
        <f t="shared" si="11"/>
        <v>2016-01</v>
      </c>
      <c r="Q211" s="36">
        <v>41983.0</v>
      </c>
      <c r="R211" s="4">
        <v>0.711756029045</v>
      </c>
      <c r="S211" s="36">
        <v>42821.0</v>
      </c>
      <c r="T211" t="str">
        <f t="shared" si="12"/>
        <v>2014-12</v>
      </c>
      <c r="U211" t="str">
        <f t="shared" si="13"/>
        <v>2017-03</v>
      </c>
      <c r="AB211" s="36">
        <v>40226.0</v>
      </c>
      <c r="AC211" s="4">
        <v>0.498075040421</v>
      </c>
      <c r="AD211" s="47">
        <v>42223.0</v>
      </c>
      <c r="AE211" t="str">
        <f t="shared" si="14"/>
        <v>2010-02</v>
      </c>
      <c r="AF211" t="str">
        <f t="shared" si="15"/>
        <v>2015-08</v>
      </c>
      <c r="AG211" s="36">
        <v>41177.0</v>
      </c>
      <c r="AH211" s="4">
        <v>0.854471449771</v>
      </c>
      <c r="AJ211" s="48" t="str">
        <f t="shared" si="16"/>
        <v>2012-09</v>
      </c>
      <c r="AL211" s="36">
        <v>40886.0</v>
      </c>
      <c r="AM211" s="4">
        <v>0.717297818798</v>
      </c>
      <c r="AN211" s="47">
        <v>41910.0</v>
      </c>
      <c r="AO211" s="49" t="str">
        <f t="shared" si="18"/>
        <v>2011-12</v>
      </c>
      <c r="AP211" t="str">
        <f t="shared" si="19"/>
        <v>2014-09</v>
      </c>
    </row>
    <row r="212">
      <c r="A212" s="36">
        <v>40307.0</v>
      </c>
      <c r="B212" s="34">
        <v>0.512148394453</v>
      </c>
      <c r="C212" s="36">
        <v>40925.0</v>
      </c>
      <c r="D212" t="str">
        <f t="shared" si="6"/>
        <v>2010-05</v>
      </c>
      <c r="E212" s="44" t="str">
        <f t="shared" si="7"/>
        <v>2012-01</v>
      </c>
      <c r="F212" s="45">
        <v>2635.0</v>
      </c>
      <c r="G212" s="36">
        <v>40864.0</v>
      </c>
      <c r="H212" s="34">
        <v>0.707773812612</v>
      </c>
      <c r="I212" s="36">
        <v>41967.0</v>
      </c>
      <c r="J212" t="str">
        <f t="shared" si="8"/>
        <v>2011-11</v>
      </c>
      <c r="K212" s="44" t="str">
        <f t="shared" si="9"/>
        <v>2014-11</v>
      </c>
      <c r="L212" s="46">
        <v>41102.0</v>
      </c>
      <c r="M212" s="4">
        <v>0.549558522914</v>
      </c>
      <c r="N212" s="36">
        <v>42138.0</v>
      </c>
      <c r="O212" t="str">
        <f t="shared" si="10"/>
        <v>2012-07</v>
      </c>
      <c r="P212" t="str">
        <f t="shared" si="11"/>
        <v>2015-05</v>
      </c>
      <c r="Q212" s="36">
        <v>41984.0</v>
      </c>
      <c r="R212" s="4">
        <v>0.791288509824</v>
      </c>
      <c r="S212" s="36">
        <v>42851.0</v>
      </c>
      <c r="T212" t="str">
        <f t="shared" si="12"/>
        <v>2014-12</v>
      </c>
      <c r="U212" t="str">
        <f t="shared" si="13"/>
        <v>2017-04</v>
      </c>
      <c r="AB212" s="36">
        <v>40232.0</v>
      </c>
      <c r="AC212" s="4">
        <v>0.628439468794</v>
      </c>
      <c r="AD212" s="47">
        <v>41951.0</v>
      </c>
      <c r="AE212" t="str">
        <f t="shared" si="14"/>
        <v>2010-02</v>
      </c>
      <c r="AF212" t="str">
        <f t="shared" si="15"/>
        <v>2014-11</v>
      </c>
      <c r="AG212" s="36">
        <v>41182.0</v>
      </c>
      <c r="AH212" s="4">
        <v>0.669482178046</v>
      </c>
      <c r="AJ212" s="48" t="str">
        <f t="shared" si="16"/>
        <v>2012-09</v>
      </c>
      <c r="AL212" s="36">
        <v>40893.0</v>
      </c>
      <c r="AM212" s="4">
        <v>0.718307503929</v>
      </c>
      <c r="AN212" s="47">
        <v>41740.0</v>
      </c>
      <c r="AO212" s="49" t="str">
        <f t="shared" si="18"/>
        <v>2011-12</v>
      </c>
      <c r="AP212" t="str">
        <f t="shared" si="19"/>
        <v>2014-04</v>
      </c>
    </row>
    <row r="213">
      <c r="A213" s="36">
        <v>40308.0</v>
      </c>
      <c r="B213" s="34">
        <v>0.768321333474</v>
      </c>
      <c r="C213" s="36">
        <v>40932.0</v>
      </c>
      <c r="D213" t="str">
        <f t="shared" si="6"/>
        <v>2010-05</v>
      </c>
      <c r="E213" s="44" t="str">
        <f t="shared" si="7"/>
        <v>2012-01</v>
      </c>
      <c r="F213" s="45">
        <v>2609.0</v>
      </c>
      <c r="G213" s="36">
        <v>40865.0</v>
      </c>
      <c r="H213" s="34">
        <v>0.802218081782</v>
      </c>
      <c r="I213" s="36">
        <v>41975.0</v>
      </c>
      <c r="J213" t="str">
        <f t="shared" si="8"/>
        <v>2011-11</v>
      </c>
      <c r="K213" s="44" t="str">
        <f t="shared" si="9"/>
        <v>2014-12</v>
      </c>
      <c r="L213" s="46">
        <v>41106.0</v>
      </c>
      <c r="M213" s="4">
        <v>0.665306437625</v>
      </c>
      <c r="N213" s="36">
        <v>42149.0</v>
      </c>
      <c r="O213" t="str">
        <f t="shared" si="10"/>
        <v>2012-07</v>
      </c>
      <c r="P213" t="str">
        <f t="shared" si="11"/>
        <v>2015-05</v>
      </c>
      <c r="Q213" s="36">
        <v>41989.0</v>
      </c>
      <c r="R213" s="4">
        <v>0.937555098472</v>
      </c>
      <c r="S213" s="36">
        <v>42852.0</v>
      </c>
      <c r="T213" t="str">
        <f t="shared" si="12"/>
        <v>2014-12</v>
      </c>
      <c r="U213" t="str">
        <f t="shared" si="13"/>
        <v>2017-04</v>
      </c>
      <c r="AB213" s="36">
        <v>40233.0</v>
      </c>
      <c r="AC213" s="4">
        <v>0.659347981441</v>
      </c>
      <c r="AD213" s="47">
        <v>41917.0</v>
      </c>
      <c r="AE213" t="str">
        <f t="shared" si="14"/>
        <v>2010-02</v>
      </c>
      <c r="AF213" t="str">
        <f t="shared" si="15"/>
        <v>2014-10</v>
      </c>
      <c r="AG213" s="36">
        <v>41183.0</v>
      </c>
      <c r="AH213" s="4">
        <v>0.699176049557</v>
      </c>
      <c r="AJ213" s="48" t="str">
        <f t="shared" si="16"/>
        <v>2012-10</v>
      </c>
      <c r="AL213" s="36">
        <v>40894.0</v>
      </c>
      <c r="AM213" s="4">
        <v>0.666719009875</v>
      </c>
      <c r="AN213" s="47">
        <v>41758.0</v>
      </c>
      <c r="AO213" s="49" t="str">
        <f t="shared" si="18"/>
        <v>2011-12</v>
      </c>
      <c r="AP213" t="str">
        <f t="shared" si="19"/>
        <v>2014-04</v>
      </c>
    </row>
    <row r="214">
      <c r="A214" s="36">
        <v>40312.0</v>
      </c>
      <c r="B214" s="34">
        <v>0.614094412291</v>
      </c>
      <c r="C214" s="36">
        <v>40940.0</v>
      </c>
      <c r="D214" t="str">
        <f t="shared" si="6"/>
        <v>2010-05</v>
      </c>
      <c r="E214" s="44" t="str">
        <f t="shared" si="7"/>
        <v>2012-02</v>
      </c>
      <c r="F214" s="45">
        <v>2555.0</v>
      </c>
      <c r="G214" s="36">
        <v>40866.0</v>
      </c>
      <c r="H214" s="34">
        <v>0.776185410387</v>
      </c>
      <c r="I214" s="36">
        <v>41982.0</v>
      </c>
      <c r="J214" t="str">
        <f t="shared" si="8"/>
        <v>2011-11</v>
      </c>
      <c r="K214" s="44" t="str">
        <f t="shared" si="9"/>
        <v>2014-12</v>
      </c>
      <c r="L214" s="46">
        <v>41107.0</v>
      </c>
      <c r="M214" s="4">
        <v>0.507203291942</v>
      </c>
      <c r="N214" s="36">
        <v>42168.0</v>
      </c>
      <c r="O214" t="str">
        <f t="shared" si="10"/>
        <v>2012-07</v>
      </c>
      <c r="P214" t="str">
        <f t="shared" si="11"/>
        <v>2015-06</v>
      </c>
      <c r="Q214" s="36">
        <v>42004.0</v>
      </c>
      <c r="R214" s="4">
        <v>0.637782564311</v>
      </c>
      <c r="S214" s="36">
        <v>42857.0</v>
      </c>
      <c r="T214" t="str">
        <f t="shared" si="12"/>
        <v>2014-12</v>
      </c>
      <c r="U214" t="str">
        <f t="shared" si="13"/>
        <v>2017-05</v>
      </c>
      <c r="AB214" s="36">
        <v>40239.0</v>
      </c>
      <c r="AC214" s="4">
        <v>0.680040930359</v>
      </c>
      <c r="AD214" s="47">
        <v>41996.0</v>
      </c>
      <c r="AE214" t="str">
        <f t="shared" si="14"/>
        <v>2010-03</v>
      </c>
      <c r="AF214" t="str">
        <f t="shared" si="15"/>
        <v>2014-12</v>
      </c>
      <c r="AG214" s="36">
        <v>41184.0</v>
      </c>
      <c r="AH214" s="4">
        <v>0.685482676489</v>
      </c>
      <c r="AJ214" s="48" t="str">
        <f t="shared" si="16"/>
        <v>2012-10</v>
      </c>
      <c r="AL214" s="36">
        <v>40899.0</v>
      </c>
      <c r="AM214" s="4">
        <v>0.644135370067</v>
      </c>
      <c r="AN214" s="47">
        <v>41787.0</v>
      </c>
      <c r="AO214" s="49" t="str">
        <f t="shared" si="18"/>
        <v>2011-12</v>
      </c>
      <c r="AP214" t="str">
        <f t="shared" si="19"/>
        <v>2014-05</v>
      </c>
    </row>
    <row r="215">
      <c r="A215" s="36">
        <v>40313.0</v>
      </c>
      <c r="B215" s="34">
        <v>0.54570486027</v>
      </c>
      <c r="C215" s="36">
        <v>40947.0</v>
      </c>
      <c r="D215" t="str">
        <f t="shared" si="6"/>
        <v>2010-05</v>
      </c>
      <c r="E215" s="44" t="str">
        <f t="shared" si="7"/>
        <v>2012-02</v>
      </c>
      <c r="F215" s="45">
        <v>2523.0</v>
      </c>
      <c r="G215" s="36">
        <v>40867.0</v>
      </c>
      <c r="H215" s="34">
        <v>0.700590159489</v>
      </c>
      <c r="I215" s="36">
        <v>41988.0</v>
      </c>
      <c r="J215" t="str">
        <f t="shared" si="8"/>
        <v>2011-11</v>
      </c>
      <c r="K215" s="44" t="str">
        <f t="shared" si="9"/>
        <v>2014-12</v>
      </c>
      <c r="L215" s="46">
        <v>41108.0</v>
      </c>
      <c r="M215" s="4">
        <v>0.612518963058</v>
      </c>
      <c r="N215" s="36">
        <v>42171.0</v>
      </c>
      <c r="O215" t="str">
        <f t="shared" si="10"/>
        <v>2012-07</v>
      </c>
      <c r="P215" t="str">
        <f t="shared" si="11"/>
        <v>2015-06</v>
      </c>
      <c r="Q215" s="36">
        <v>42009.0</v>
      </c>
      <c r="R215" s="4">
        <v>0.242451990926</v>
      </c>
      <c r="S215" s="36">
        <v>42857.0</v>
      </c>
      <c r="T215" t="str">
        <f t="shared" si="12"/>
        <v>2015-01</v>
      </c>
      <c r="U215" t="str">
        <f t="shared" si="13"/>
        <v>2017-05</v>
      </c>
      <c r="AB215" s="36">
        <v>40240.0</v>
      </c>
      <c r="AC215" s="4">
        <v>0.859806294783</v>
      </c>
      <c r="AD215" s="47">
        <v>42020.0</v>
      </c>
      <c r="AE215" t="str">
        <f t="shared" si="14"/>
        <v>2010-03</v>
      </c>
      <c r="AF215" t="str">
        <f t="shared" si="15"/>
        <v>2015-01</v>
      </c>
      <c r="AG215" s="36">
        <v>41189.0</v>
      </c>
      <c r="AH215" s="4">
        <v>0.754274147651</v>
      </c>
      <c r="AJ215" s="48" t="str">
        <f t="shared" si="16"/>
        <v>2012-10</v>
      </c>
      <c r="AL215" s="36">
        <v>40900.0</v>
      </c>
      <c r="AM215" s="4">
        <v>0.712367011364</v>
      </c>
      <c r="AN215" s="47">
        <v>41790.0</v>
      </c>
      <c r="AO215" s="49" t="str">
        <f t="shared" si="18"/>
        <v>2011-12</v>
      </c>
      <c r="AP215" t="str">
        <f t="shared" si="19"/>
        <v>2014-05</v>
      </c>
    </row>
    <row r="216">
      <c r="A216" s="36">
        <v>40314.0</v>
      </c>
      <c r="B216" s="34">
        <v>0.69068822632</v>
      </c>
      <c r="C216" s="36">
        <v>40954.0</v>
      </c>
      <c r="D216" t="str">
        <f t="shared" si="6"/>
        <v>2010-05</v>
      </c>
      <c r="E216" s="44" t="str">
        <f t="shared" si="7"/>
        <v>2012-02</v>
      </c>
      <c r="F216" s="45">
        <v>2490.0</v>
      </c>
      <c r="G216" s="36">
        <v>40871.0</v>
      </c>
      <c r="H216" s="34">
        <v>0.644565777043</v>
      </c>
      <c r="I216" s="36">
        <v>41992.0</v>
      </c>
      <c r="J216" t="str">
        <f t="shared" si="8"/>
        <v>2011-11</v>
      </c>
      <c r="K216" s="44" t="str">
        <f t="shared" si="9"/>
        <v>2014-12</v>
      </c>
      <c r="L216" s="46">
        <v>41109.0</v>
      </c>
      <c r="M216" s="4">
        <v>0.568474662539</v>
      </c>
      <c r="N216" s="36">
        <v>42173.0</v>
      </c>
      <c r="O216" t="str">
        <f t="shared" si="10"/>
        <v>2012-07</v>
      </c>
      <c r="P216" t="str">
        <f t="shared" si="11"/>
        <v>2015-06</v>
      </c>
      <c r="Q216" s="36">
        <v>42018.0</v>
      </c>
      <c r="R216" s="4">
        <v>0.790967866254</v>
      </c>
      <c r="S216" s="36">
        <v>42864.0</v>
      </c>
      <c r="T216" t="str">
        <f t="shared" si="12"/>
        <v>2015-01</v>
      </c>
      <c r="U216" t="str">
        <f t="shared" si="13"/>
        <v>2017-05</v>
      </c>
      <c r="AB216" s="36">
        <v>40246.0</v>
      </c>
      <c r="AC216" s="4">
        <v>0.73719082042</v>
      </c>
      <c r="AD216" s="47">
        <v>42054.0</v>
      </c>
      <c r="AE216" t="str">
        <f t="shared" si="14"/>
        <v>2010-03</v>
      </c>
      <c r="AF216" t="str">
        <f t="shared" si="15"/>
        <v>2015-02</v>
      </c>
      <c r="AG216" s="36">
        <v>41190.0</v>
      </c>
      <c r="AH216" s="4">
        <v>0.676363253367</v>
      </c>
      <c r="AJ216" s="48" t="str">
        <f t="shared" si="16"/>
        <v>2012-10</v>
      </c>
      <c r="AL216" s="36">
        <v>40901.0</v>
      </c>
      <c r="AM216" s="4">
        <v>0.794289070324</v>
      </c>
      <c r="AN216" s="47">
        <v>41828.0</v>
      </c>
      <c r="AO216" s="49" t="str">
        <f t="shared" si="18"/>
        <v>2011-12</v>
      </c>
      <c r="AP216" t="str">
        <f t="shared" si="19"/>
        <v>2014-07</v>
      </c>
    </row>
    <row r="217">
      <c r="A217" s="36">
        <v>40315.0</v>
      </c>
      <c r="B217" s="34">
        <v>0.492129794123</v>
      </c>
      <c r="C217" s="36">
        <v>40962.0</v>
      </c>
      <c r="D217" t="str">
        <f t="shared" si="6"/>
        <v>2010-05</v>
      </c>
      <c r="E217" s="44" t="str">
        <f t="shared" si="7"/>
        <v>2012-02</v>
      </c>
      <c r="F217" s="45">
        <v>2488.0</v>
      </c>
      <c r="G217" s="36">
        <v>40872.0</v>
      </c>
      <c r="H217" s="34">
        <v>0.51586582029</v>
      </c>
      <c r="I217" s="36">
        <v>42018.0</v>
      </c>
      <c r="J217" t="str">
        <f t="shared" si="8"/>
        <v>2011-11</v>
      </c>
      <c r="K217" s="44" t="str">
        <f t="shared" si="9"/>
        <v>2015-01</v>
      </c>
      <c r="L217" s="46">
        <v>41112.0</v>
      </c>
      <c r="M217" s="4">
        <v>0.724425779802</v>
      </c>
      <c r="N217" s="36">
        <v>42191.0</v>
      </c>
      <c r="O217" t="str">
        <f t="shared" si="10"/>
        <v>2012-07</v>
      </c>
      <c r="P217" t="str">
        <f t="shared" si="11"/>
        <v>2015-07</v>
      </c>
      <c r="Q217" s="36">
        <v>42019.0</v>
      </c>
      <c r="R217" s="4">
        <v>0.804592732549</v>
      </c>
      <c r="S217" s="36">
        <v>42894.0</v>
      </c>
      <c r="T217" t="str">
        <f t="shared" si="12"/>
        <v>2015-01</v>
      </c>
      <c r="U217" t="str">
        <f t="shared" si="13"/>
        <v>2017-06</v>
      </c>
      <c r="AB217" s="36">
        <v>40247.0</v>
      </c>
      <c r="AC217" s="4">
        <v>0.752200930807</v>
      </c>
      <c r="AD217" s="47">
        <v>42079.0</v>
      </c>
      <c r="AE217" t="str">
        <f t="shared" si="14"/>
        <v>2010-03</v>
      </c>
      <c r="AF217" t="str">
        <f t="shared" si="15"/>
        <v>2015-03</v>
      </c>
      <c r="AG217" s="36">
        <v>41191.0</v>
      </c>
      <c r="AH217" s="4">
        <v>0.976872355443</v>
      </c>
      <c r="AJ217" s="48" t="str">
        <f t="shared" si="16"/>
        <v>2012-10</v>
      </c>
      <c r="AL217" s="36">
        <v>40906.0</v>
      </c>
      <c r="AM217" s="4">
        <v>0.729512852382</v>
      </c>
      <c r="AN217" s="47">
        <v>41835.0</v>
      </c>
      <c r="AO217" s="49" t="str">
        <f t="shared" si="18"/>
        <v>2011-12</v>
      </c>
      <c r="AP217" t="str">
        <f t="shared" si="19"/>
        <v>2014-07</v>
      </c>
    </row>
    <row r="218">
      <c r="A218" s="36">
        <v>40320.0</v>
      </c>
      <c r="B218" s="34">
        <v>0.751092785578</v>
      </c>
      <c r="C218" s="36">
        <v>40981.0</v>
      </c>
      <c r="D218" t="str">
        <f t="shared" si="6"/>
        <v>2010-05</v>
      </c>
      <c r="E218" s="44" t="str">
        <f t="shared" si="7"/>
        <v>2012-03</v>
      </c>
      <c r="F218" s="45">
        <v>2488.0</v>
      </c>
      <c r="G218" s="36">
        <v>40873.0</v>
      </c>
      <c r="H218" s="34">
        <v>0.494798000919</v>
      </c>
      <c r="I218" s="36">
        <v>42024.0</v>
      </c>
      <c r="J218" t="str">
        <f t="shared" si="8"/>
        <v>2011-11</v>
      </c>
      <c r="K218" s="44" t="str">
        <f t="shared" si="9"/>
        <v>2015-01</v>
      </c>
      <c r="L218" s="46">
        <v>41113.0</v>
      </c>
      <c r="M218" s="4">
        <v>0.720092067614</v>
      </c>
      <c r="N218" s="36">
        <v>42199.0</v>
      </c>
      <c r="O218" t="str">
        <f t="shared" si="10"/>
        <v>2012-07</v>
      </c>
      <c r="P218" t="str">
        <f t="shared" si="11"/>
        <v>2015-07</v>
      </c>
      <c r="Q218" s="36">
        <v>42020.0</v>
      </c>
      <c r="R218" s="4">
        <v>0.550871860153</v>
      </c>
      <c r="S218" s="36">
        <v>42929.0</v>
      </c>
      <c r="T218" t="str">
        <f t="shared" si="12"/>
        <v>2015-01</v>
      </c>
      <c r="U218" t="str">
        <f t="shared" si="13"/>
        <v>2017-07</v>
      </c>
      <c r="AB218" s="36">
        <v>40253.0</v>
      </c>
      <c r="AC218" s="4">
        <v>0.669682065815</v>
      </c>
      <c r="AD218" s="47">
        <v>42114.0</v>
      </c>
      <c r="AE218" t="str">
        <f t="shared" si="14"/>
        <v>2010-03</v>
      </c>
      <c r="AF218" t="str">
        <f t="shared" si="15"/>
        <v>2015-04</v>
      </c>
      <c r="AG218" s="36">
        <v>41195.0</v>
      </c>
      <c r="AH218" s="4">
        <v>0.800555873261</v>
      </c>
      <c r="AJ218" s="48" t="str">
        <f t="shared" si="16"/>
        <v>2012-10</v>
      </c>
      <c r="AL218" s="36">
        <v>40907.0</v>
      </c>
      <c r="AM218" s="4">
        <v>0.673356312884</v>
      </c>
      <c r="AN218" s="47">
        <v>41857.0</v>
      </c>
      <c r="AO218" s="49" t="str">
        <f t="shared" si="18"/>
        <v>2011-12</v>
      </c>
      <c r="AP218" t="str">
        <f t="shared" si="19"/>
        <v>2014-08</v>
      </c>
    </row>
    <row r="219">
      <c r="A219" s="36">
        <v>40321.0</v>
      </c>
      <c r="B219" s="34">
        <v>0.694743453128</v>
      </c>
      <c r="C219" s="36">
        <v>40998.0</v>
      </c>
      <c r="D219" t="str">
        <f t="shared" si="6"/>
        <v>2010-05</v>
      </c>
      <c r="E219" s="44" t="str">
        <f t="shared" si="7"/>
        <v>2012-03</v>
      </c>
      <c r="F219" s="45">
        <v>2488.0</v>
      </c>
      <c r="G219" s="36">
        <v>40874.0</v>
      </c>
      <c r="H219" s="34">
        <v>0.760025772538</v>
      </c>
      <c r="I219" s="36">
        <v>42030.0</v>
      </c>
      <c r="J219" t="str">
        <f t="shared" si="8"/>
        <v>2011-11</v>
      </c>
      <c r="K219" s="44" t="str">
        <f t="shared" si="9"/>
        <v>2015-01</v>
      </c>
      <c r="L219" s="46">
        <v>41114.0</v>
      </c>
      <c r="M219" s="4">
        <v>0.581340484219</v>
      </c>
      <c r="N219" s="36">
        <v>42205.0</v>
      </c>
      <c r="O219" t="str">
        <f t="shared" si="10"/>
        <v>2012-07</v>
      </c>
      <c r="P219" t="str">
        <f t="shared" si="11"/>
        <v>2015-07</v>
      </c>
      <c r="Q219" s="36">
        <v>42031.0</v>
      </c>
      <c r="R219" s="4">
        <v>0.816442956371</v>
      </c>
      <c r="S219" s="36">
        <v>42929.0</v>
      </c>
      <c r="T219" t="str">
        <f t="shared" si="12"/>
        <v>2015-01</v>
      </c>
      <c r="U219" t="str">
        <f t="shared" si="13"/>
        <v>2017-07</v>
      </c>
      <c r="AB219" s="36">
        <v>40254.0</v>
      </c>
      <c r="AC219" s="4">
        <v>0.633488286959</v>
      </c>
      <c r="AD219" s="47">
        <v>42149.0</v>
      </c>
      <c r="AE219" t="str">
        <f t="shared" si="14"/>
        <v>2010-03</v>
      </c>
      <c r="AF219" t="str">
        <f t="shared" si="15"/>
        <v>2015-05</v>
      </c>
      <c r="AG219" s="36">
        <v>41196.0</v>
      </c>
      <c r="AH219" s="4">
        <v>0.80302614778</v>
      </c>
      <c r="AJ219" s="48" t="str">
        <f t="shared" si="16"/>
        <v>2012-10</v>
      </c>
      <c r="AL219" s="36">
        <v>40908.0</v>
      </c>
      <c r="AM219" s="4">
        <v>0.693589726407</v>
      </c>
      <c r="AN219" s="47">
        <v>41885.0</v>
      </c>
      <c r="AO219" s="49" t="str">
        <f t="shared" si="18"/>
        <v>2011-12</v>
      </c>
      <c r="AP219" t="str">
        <f t="shared" si="19"/>
        <v>2014-09</v>
      </c>
    </row>
    <row r="220">
      <c r="A220" s="36">
        <v>40326.0</v>
      </c>
      <c r="B220" s="34">
        <v>0.747834466971</v>
      </c>
      <c r="C220" s="36">
        <v>41017.0</v>
      </c>
      <c r="D220" t="str">
        <f t="shared" si="6"/>
        <v>2010-05</v>
      </c>
      <c r="E220" s="44" t="str">
        <f t="shared" si="7"/>
        <v>2012-04</v>
      </c>
      <c r="F220" s="45">
        <v>2488.0</v>
      </c>
      <c r="G220" s="36">
        <v>40878.0</v>
      </c>
      <c r="H220" s="34">
        <v>0.624383398363</v>
      </c>
      <c r="I220" s="36">
        <v>42038.0</v>
      </c>
      <c r="J220" t="str">
        <f t="shared" si="8"/>
        <v>2011-12</v>
      </c>
      <c r="K220" s="44" t="str">
        <f t="shared" si="9"/>
        <v>2015-02</v>
      </c>
      <c r="L220" s="46">
        <v>41115.0</v>
      </c>
      <c r="M220" s="4">
        <v>0.512532614688</v>
      </c>
      <c r="N220" s="36">
        <v>42216.0</v>
      </c>
      <c r="O220" t="str">
        <f t="shared" si="10"/>
        <v>2012-07</v>
      </c>
      <c r="P220" t="str">
        <f t="shared" si="11"/>
        <v>2015-07</v>
      </c>
      <c r="Q220" s="36">
        <v>42033.0</v>
      </c>
      <c r="R220" s="4">
        <v>0.671180780669</v>
      </c>
      <c r="S220" s="36">
        <v>42937.0</v>
      </c>
      <c r="T220" t="str">
        <f t="shared" si="12"/>
        <v>2015-01</v>
      </c>
      <c r="U220" t="str">
        <f t="shared" si="13"/>
        <v>2017-07</v>
      </c>
      <c r="AB220" s="36">
        <v>40260.0</v>
      </c>
      <c r="AC220" s="4">
        <v>0.730319431495</v>
      </c>
      <c r="AD220" s="47">
        <v>42152.0</v>
      </c>
      <c r="AE220" t="str">
        <f t="shared" si="14"/>
        <v>2010-03</v>
      </c>
      <c r="AF220" t="str">
        <f t="shared" si="15"/>
        <v>2015-05</v>
      </c>
      <c r="AG220" s="36">
        <v>41197.0</v>
      </c>
      <c r="AH220" s="4">
        <v>0.741568529503</v>
      </c>
      <c r="AJ220" s="48" t="str">
        <f t="shared" si="16"/>
        <v>2012-10</v>
      </c>
      <c r="AL220" s="36">
        <v>40914.0</v>
      </c>
      <c r="AM220" s="4">
        <v>0.66787962754</v>
      </c>
      <c r="AN220" s="47">
        <v>41910.0</v>
      </c>
      <c r="AO220" s="49" t="str">
        <f t="shared" si="18"/>
        <v>2012-01</v>
      </c>
      <c r="AP220" t="str">
        <f t="shared" si="19"/>
        <v>2014-09</v>
      </c>
    </row>
    <row r="221">
      <c r="A221" s="36">
        <v>40327.0</v>
      </c>
      <c r="B221" s="34">
        <v>0.729518997825</v>
      </c>
      <c r="C221" s="36">
        <v>41058.0</v>
      </c>
      <c r="D221" t="str">
        <f t="shared" si="6"/>
        <v>2010-05</v>
      </c>
      <c r="E221" s="44" t="str">
        <f t="shared" si="7"/>
        <v>2012-05</v>
      </c>
      <c r="F221" s="45">
        <v>2488.0</v>
      </c>
      <c r="G221" s="36">
        <v>40879.0</v>
      </c>
      <c r="H221" s="34">
        <v>0.562029379099</v>
      </c>
      <c r="I221" s="36">
        <v>42044.0</v>
      </c>
      <c r="J221" t="str">
        <f t="shared" si="8"/>
        <v>2011-12</v>
      </c>
      <c r="K221" s="44" t="str">
        <f t="shared" si="9"/>
        <v>2015-02</v>
      </c>
      <c r="L221" s="46">
        <v>41120.0</v>
      </c>
      <c r="M221" s="4">
        <v>0.517597519923</v>
      </c>
      <c r="N221" s="36">
        <v>42225.0</v>
      </c>
      <c r="O221" t="str">
        <f t="shared" si="10"/>
        <v>2012-07</v>
      </c>
      <c r="P221" t="str">
        <f t="shared" si="11"/>
        <v>2015-08</v>
      </c>
      <c r="Q221" s="36">
        <v>42039.0</v>
      </c>
      <c r="R221" s="4">
        <v>0.54196635988</v>
      </c>
      <c r="S221" s="36">
        <v>42991.0</v>
      </c>
      <c r="T221" t="str">
        <f t="shared" si="12"/>
        <v>2015-02</v>
      </c>
      <c r="U221" t="str">
        <f t="shared" si="13"/>
        <v>2017-09</v>
      </c>
      <c r="AB221" s="36">
        <v>40261.0</v>
      </c>
      <c r="AC221" s="4">
        <v>0.658948435398</v>
      </c>
      <c r="AD221" s="47">
        <v>42152.0</v>
      </c>
      <c r="AE221" t="str">
        <f t="shared" si="14"/>
        <v>2010-03</v>
      </c>
      <c r="AF221" t="str">
        <f t="shared" si="15"/>
        <v>2015-05</v>
      </c>
      <c r="AG221" s="36">
        <v>41198.0</v>
      </c>
      <c r="AH221" s="4">
        <v>0.826516713264</v>
      </c>
      <c r="AJ221" s="48" t="str">
        <f t="shared" si="16"/>
        <v>2012-10</v>
      </c>
      <c r="AL221" s="36">
        <v>40921.0</v>
      </c>
      <c r="AM221" s="4">
        <v>0.766247486194</v>
      </c>
      <c r="AN221" s="47">
        <v>41936.0</v>
      </c>
      <c r="AO221" s="49" t="str">
        <f t="shared" si="18"/>
        <v>2012-01</v>
      </c>
      <c r="AP221" t="str">
        <f t="shared" si="19"/>
        <v>2014-10</v>
      </c>
    </row>
    <row r="222">
      <c r="A222" s="36">
        <v>40328.0</v>
      </c>
      <c r="B222" s="34">
        <v>0.639029395932</v>
      </c>
      <c r="C222" s="36">
        <v>41071.0</v>
      </c>
      <c r="D222" t="str">
        <f t="shared" si="6"/>
        <v>2010-05</v>
      </c>
      <c r="E222" s="44" t="str">
        <f t="shared" si="7"/>
        <v>2012-06</v>
      </c>
      <c r="F222" s="45">
        <v>2488.0</v>
      </c>
      <c r="G222" s="36">
        <v>40885.0</v>
      </c>
      <c r="H222" s="34">
        <v>0.728673258866</v>
      </c>
      <c r="I222" s="36">
        <v>42059.0</v>
      </c>
      <c r="J222" t="str">
        <f t="shared" si="8"/>
        <v>2011-12</v>
      </c>
      <c r="K222" s="44" t="str">
        <f t="shared" si="9"/>
        <v>2015-02</v>
      </c>
      <c r="L222" s="46">
        <v>41121.0</v>
      </c>
      <c r="M222" s="4">
        <v>0.624703892922</v>
      </c>
      <c r="N222" s="36">
        <v>42229.0</v>
      </c>
      <c r="O222" t="str">
        <f t="shared" si="10"/>
        <v>2012-07</v>
      </c>
      <c r="P222" t="str">
        <f t="shared" si="11"/>
        <v>2015-08</v>
      </c>
      <c r="Q222" s="36">
        <v>42040.0</v>
      </c>
      <c r="R222" s="4">
        <v>0.794833324902</v>
      </c>
      <c r="S222" s="36">
        <v>42992.0</v>
      </c>
      <c r="T222" t="str">
        <f t="shared" si="12"/>
        <v>2015-02</v>
      </c>
      <c r="U222" t="str">
        <f t="shared" si="13"/>
        <v>2017-09</v>
      </c>
      <c r="AB222" s="36">
        <v>40267.0</v>
      </c>
      <c r="AC222" s="4">
        <v>0.666565586163</v>
      </c>
      <c r="AD222" s="47">
        <v>42185.0</v>
      </c>
      <c r="AE222" t="str">
        <f t="shared" si="14"/>
        <v>2010-03</v>
      </c>
      <c r="AF222" t="str">
        <f t="shared" si="15"/>
        <v>2015-06</v>
      </c>
      <c r="AG222" s="36">
        <v>41204.0</v>
      </c>
      <c r="AH222" s="4">
        <v>0.753470320155</v>
      </c>
      <c r="AJ222" s="48" t="str">
        <f t="shared" si="16"/>
        <v>2012-10</v>
      </c>
      <c r="AL222" s="36">
        <v>40928.0</v>
      </c>
      <c r="AM222" s="4">
        <v>0.73214509796</v>
      </c>
      <c r="AN222" s="47">
        <v>41963.0</v>
      </c>
      <c r="AO222" s="49" t="str">
        <f t="shared" si="18"/>
        <v>2012-01</v>
      </c>
      <c r="AP222" t="str">
        <f t="shared" si="19"/>
        <v>2014-11</v>
      </c>
    </row>
    <row r="223">
      <c r="A223" s="36">
        <v>40329.0</v>
      </c>
      <c r="B223" s="34">
        <v>0.784773777954</v>
      </c>
      <c r="C223" s="36">
        <v>41071.0</v>
      </c>
      <c r="D223" t="str">
        <f t="shared" si="6"/>
        <v>2010-05</v>
      </c>
      <c r="E223" s="44" t="str">
        <f t="shared" si="7"/>
        <v>2012-06</v>
      </c>
      <c r="F223" s="45">
        <v>2488.0</v>
      </c>
      <c r="G223" s="36">
        <v>40886.0</v>
      </c>
      <c r="H223" s="34">
        <v>0.805624445011</v>
      </c>
      <c r="I223" s="36">
        <v>42080.0</v>
      </c>
      <c r="J223" t="str">
        <f t="shared" si="8"/>
        <v>2011-12</v>
      </c>
      <c r="K223" s="44" t="str">
        <f t="shared" si="9"/>
        <v>2015-03</v>
      </c>
      <c r="L223" s="46">
        <v>41122.0</v>
      </c>
      <c r="M223" s="4">
        <v>0.742070610207</v>
      </c>
      <c r="N223" s="36">
        <v>42238.0</v>
      </c>
      <c r="O223" t="str">
        <f t="shared" si="10"/>
        <v>2012-08</v>
      </c>
      <c r="P223" t="str">
        <f t="shared" si="11"/>
        <v>2015-08</v>
      </c>
      <c r="Q223" s="36">
        <v>42047.0</v>
      </c>
      <c r="R223" s="4">
        <v>0.517515741886</v>
      </c>
      <c r="S223" s="36">
        <v>43021.0</v>
      </c>
      <c r="T223" t="str">
        <f t="shared" si="12"/>
        <v>2015-02</v>
      </c>
      <c r="U223" t="str">
        <f t="shared" si="13"/>
        <v>2017-10</v>
      </c>
      <c r="AB223" s="36">
        <v>40268.0</v>
      </c>
      <c r="AC223" s="4">
        <v>0.80553309807</v>
      </c>
      <c r="AD223" s="47">
        <v>42201.0</v>
      </c>
      <c r="AE223" t="str">
        <f t="shared" si="14"/>
        <v>2010-03</v>
      </c>
      <c r="AF223" t="str">
        <f t="shared" si="15"/>
        <v>2015-07</v>
      </c>
      <c r="AG223" s="36">
        <v>41205.0</v>
      </c>
      <c r="AH223" s="4">
        <v>0.715397047954</v>
      </c>
      <c r="AJ223" s="48" t="str">
        <f t="shared" si="16"/>
        <v>2012-10</v>
      </c>
      <c r="AL223" s="36">
        <v>40935.0</v>
      </c>
      <c r="AM223" s="4">
        <v>0.718472302827</v>
      </c>
      <c r="AN223" s="47">
        <v>41976.0</v>
      </c>
      <c r="AO223" s="49" t="str">
        <f t="shared" si="18"/>
        <v>2012-01</v>
      </c>
      <c r="AP223" t="str">
        <f t="shared" si="19"/>
        <v>2014-12</v>
      </c>
    </row>
    <row r="224">
      <c r="A224" s="36">
        <v>40334.0</v>
      </c>
      <c r="B224" s="34">
        <v>0.796315134141</v>
      </c>
      <c r="C224" s="36">
        <v>41075.0</v>
      </c>
      <c r="D224" t="str">
        <f t="shared" si="6"/>
        <v>2010-06</v>
      </c>
      <c r="E224" s="44" t="str">
        <f t="shared" si="7"/>
        <v>2012-06</v>
      </c>
      <c r="F224" s="45">
        <v>2488.0</v>
      </c>
      <c r="G224" s="36">
        <v>40887.0</v>
      </c>
      <c r="H224" s="34">
        <v>0.736064709331</v>
      </c>
      <c r="I224" s="36">
        <v>42160.0</v>
      </c>
      <c r="J224" t="str">
        <f t="shared" si="8"/>
        <v>2011-12</v>
      </c>
      <c r="K224" s="44" t="str">
        <f t="shared" si="9"/>
        <v>2015-06</v>
      </c>
      <c r="L224" s="46">
        <v>41123.0</v>
      </c>
      <c r="M224" s="4">
        <v>0.466715989757</v>
      </c>
      <c r="N224" s="36">
        <v>42253.0</v>
      </c>
      <c r="O224" t="str">
        <f t="shared" si="10"/>
        <v>2012-08</v>
      </c>
      <c r="P224" t="str">
        <f t="shared" si="11"/>
        <v>2015-09</v>
      </c>
      <c r="Q224" s="36">
        <v>42052.0</v>
      </c>
      <c r="R224" s="4">
        <v>0.851240945957</v>
      </c>
      <c r="S224" s="36">
        <v>43021.0</v>
      </c>
      <c r="T224" t="str">
        <f t="shared" si="12"/>
        <v>2015-02</v>
      </c>
      <c r="U224" t="str">
        <f t="shared" si="13"/>
        <v>2017-10</v>
      </c>
      <c r="AB224" s="36">
        <v>40274.0</v>
      </c>
      <c r="AC224" s="4">
        <v>0.629516647112</v>
      </c>
      <c r="AD224" s="47">
        <v>42208.0</v>
      </c>
      <c r="AE224" t="str">
        <f t="shared" si="14"/>
        <v>2010-04</v>
      </c>
      <c r="AF224" t="str">
        <f t="shared" si="15"/>
        <v>2015-07</v>
      </c>
      <c r="AG224" s="36">
        <v>41210.0</v>
      </c>
      <c r="AH224" s="4">
        <v>0.580456606428</v>
      </c>
      <c r="AJ224" s="48" t="str">
        <f t="shared" si="16"/>
        <v>2012-10</v>
      </c>
      <c r="AL224" s="36">
        <v>40942.0</v>
      </c>
      <c r="AM224" s="4">
        <v>0.710684429856</v>
      </c>
      <c r="AN224" s="47">
        <v>42011.0</v>
      </c>
      <c r="AO224" s="49" t="str">
        <f t="shared" si="18"/>
        <v>2012-02</v>
      </c>
      <c r="AP224" t="str">
        <f t="shared" si="19"/>
        <v>2015-01</v>
      </c>
    </row>
    <row r="225">
      <c r="A225" s="36">
        <v>40335.0</v>
      </c>
      <c r="B225" s="34">
        <v>0.731201778748</v>
      </c>
      <c r="C225" s="36">
        <v>41080.0</v>
      </c>
      <c r="D225" t="str">
        <f t="shared" si="6"/>
        <v>2010-06</v>
      </c>
      <c r="E225" s="44" t="str">
        <f t="shared" si="7"/>
        <v>2012-06</v>
      </c>
      <c r="F225" s="45">
        <v>2488.0</v>
      </c>
      <c r="G225" s="36">
        <v>40888.0</v>
      </c>
      <c r="H225" s="34">
        <v>0.424387583162</v>
      </c>
      <c r="I225" s="36">
        <v>42191.0</v>
      </c>
      <c r="J225" t="str">
        <f t="shared" si="8"/>
        <v>2011-12</v>
      </c>
      <c r="K225" s="44" t="str">
        <f t="shared" si="9"/>
        <v>2015-07</v>
      </c>
      <c r="L225" s="46">
        <v>41129.0</v>
      </c>
      <c r="M225" s="4">
        <v>0.678951261525</v>
      </c>
      <c r="N225" s="36">
        <v>42325.0</v>
      </c>
      <c r="O225" t="str">
        <f t="shared" si="10"/>
        <v>2012-08</v>
      </c>
      <c r="P225" t="str">
        <f t="shared" si="11"/>
        <v>2015-11</v>
      </c>
      <c r="Q225" s="36">
        <v>42054.0</v>
      </c>
      <c r="R225" s="4">
        <v>0.984019382702</v>
      </c>
      <c r="S225" s="36">
        <v>43021.0</v>
      </c>
      <c r="T225" t="str">
        <f t="shared" si="12"/>
        <v>2015-02</v>
      </c>
      <c r="U225" t="str">
        <f t="shared" si="13"/>
        <v>2017-10</v>
      </c>
      <c r="AB225" s="36">
        <v>40275.0</v>
      </c>
      <c r="AC225" s="4">
        <v>0.680000032671</v>
      </c>
      <c r="AD225" s="47">
        <v>42223.0</v>
      </c>
      <c r="AE225" t="str">
        <f t="shared" si="14"/>
        <v>2010-04</v>
      </c>
      <c r="AF225" t="str">
        <f t="shared" si="15"/>
        <v>2015-08</v>
      </c>
      <c r="AG225" s="36">
        <v>41211.0</v>
      </c>
      <c r="AH225" s="4">
        <v>0.724692490882</v>
      </c>
      <c r="AJ225" s="48" t="str">
        <f t="shared" si="16"/>
        <v>2012-10</v>
      </c>
      <c r="AL225" s="36">
        <v>40949.0</v>
      </c>
      <c r="AM225" s="4">
        <v>0.731025815394</v>
      </c>
      <c r="AN225" s="47">
        <v>42037.0</v>
      </c>
      <c r="AO225" s="49" t="str">
        <f t="shared" si="18"/>
        <v>2012-02</v>
      </c>
      <c r="AP225" t="str">
        <f t="shared" si="19"/>
        <v>2015-02</v>
      </c>
    </row>
    <row r="226">
      <c r="A226" s="36">
        <v>40336.0</v>
      </c>
      <c r="B226" s="34">
        <v>0.532827135082</v>
      </c>
      <c r="C226" s="36">
        <v>41085.0</v>
      </c>
      <c r="D226" t="str">
        <f t="shared" si="6"/>
        <v>2010-06</v>
      </c>
      <c r="E226" s="44" t="str">
        <f t="shared" si="7"/>
        <v>2012-06</v>
      </c>
      <c r="F226" s="45">
        <v>2488.0</v>
      </c>
      <c r="G226" s="36">
        <v>40892.0</v>
      </c>
      <c r="H226" s="34">
        <v>0.688567567271</v>
      </c>
      <c r="I226" s="36">
        <v>42234.0</v>
      </c>
      <c r="J226" t="str">
        <f t="shared" si="8"/>
        <v>2011-12</v>
      </c>
      <c r="K226" s="44" t="str">
        <f t="shared" si="9"/>
        <v>2015-08</v>
      </c>
      <c r="L226" s="46">
        <v>41135.0</v>
      </c>
      <c r="M226" s="4">
        <v>0.593619341008</v>
      </c>
      <c r="N226" s="36">
        <v>42383.0</v>
      </c>
      <c r="O226" t="str">
        <f t="shared" si="10"/>
        <v>2012-08</v>
      </c>
      <c r="P226" t="str">
        <f t="shared" si="11"/>
        <v>2016-01</v>
      </c>
      <c r="Q226" s="36">
        <v>42055.0</v>
      </c>
      <c r="R226" s="4">
        <v>0.906142840454</v>
      </c>
      <c r="S226" s="36">
        <v>43042.0</v>
      </c>
      <c r="T226" t="str">
        <f t="shared" si="12"/>
        <v>2015-02</v>
      </c>
      <c r="U226" t="str">
        <f t="shared" si="13"/>
        <v>2017-11</v>
      </c>
      <c r="AB226" s="36">
        <v>40281.0</v>
      </c>
      <c r="AC226" s="4">
        <v>0.590081957399</v>
      </c>
      <c r="AD226" s="47">
        <v>42314.0</v>
      </c>
      <c r="AE226" t="str">
        <f t="shared" si="14"/>
        <v>2010-04</v>
      </c>
      <c r="AF226" t="str">
        <f t="shared" si="15"/>
        <v>2015-11</v>
      </c>
      <c r="AG226" s="36">
        <v>41212.0</v>
      </c>
      <c r="AH226" s="4">
        <v>0.595931051612</v>
      </c>
      <c r="AJ226" s="48" t="str">
        <f t="shared" si="16"/>
        <v>2012-10</v>
      </c>
      <c r="AL226" s="36">
        <v>40956.0</v>
      </c>
      <c r="AM226" s="4">
        <v>0.751871277654</v>
      </c>
      <c r="AN226" s="47">
        <v>42095.0</v>
      </c>
      <c r="AO226" s="49" t="str">
        <f t="shared" si="18"/>
        <v>2012-02</v>
      </c>
      <c r="AP226" t="str">
        <f t="shared" si="19"/>
        <v>2015-04</v>
      </c>
    </row>
    <row r="227">
      <c r="A227" s="36">
        <v>40341.0</v>
      </c>
      <c r="B227" s="34">
        <v>0.721953964873</v>
      </c>
      <c r="C227" s="36">
        <v>41089.0</v>
      </c>
      <c r="D227" t="str">
        <f t="shared" si="6"/>
        <v>2010-06</v>
      </c>
      <c r="E227" s="44" t="str">
        <f t="shared" si="7"/>
        <v>2012-06</v>
      </c>
      <c r="F227" s="45">
        <v>2488.0</v>
      </c>
      <c r="G227" s="36">
        <v>40893.0</v>
      </c>
      <c r="H227" s="34">
        <v>0.661498601843</v>
      </c>
      <c r="I227" s="36">
        <v>42263.0</v>
      </c>
      <c r="J227" t="str">
        <f t="shared" si="8"/>
        <v>2011-12</v>
      </c>
      <c r="K227" s="44" t="str">
        <f t="shared" si="9"/>
        <v>2015-09</v>
      </c>
      <c r="L227" s="46">
        <v>41136.0</v>
      </c>
      <c r="M227" s="4">
        <v>0.633675749774</v>
      </c>
      <c r="N227" s="36">
        <v>42387.0</v>
      </c>
      <c r="O227" t="str">
        <f t="shared" si="10"/>
        <v>2012-08</v>
      </c>
      <c r="P227" t="str">
        <f t="shared" si="11"/>
        <v>2016-01</v>
      </c>
      <c r="Q227" s="36">
        <v>42058.0</v>
      </c>
      <c r="R227" s="4">
        <v>0.728220809992</v>
      </c>
      <c r="S227" s="36">
        <v>41616.0</v>
      </c>
      <c r="T227" t="str">
        <f t="shared" si="12"/>
        <v>2015-02</v>
      </c>
      <c r="U227" t="str">
        <f t="shared" si="13"/>
        <v>2013-12</v>
      </c>
      <c r="AB227" s="36">
        <v>40282.0</v>
      </c>
      <c r="AC227" s="4">
        <v>0.711068877604</v>
      </c>
      <c r="AD227" s="47">
        <v>42443.0</v>
      </c>
      <c r="AE227" t="str">
        <f t="shared" si="14"/>
        <v>2010-04</v>
      </c>
      <c r="AF227" t="str">
        <f t="shared" si="15"/>
        <v>2016-03</v>
      </c>
      <c r="AG227" s="36">
        <v>41218.0</v>
      </c>
      <c r="AH227" s="4">
        <v>0.700477642819</v>
      </c>
      <c r="AJ227" s="48" t="str">
        <f t="shared" si="16"/>
        <v>2012-11</v>
      </c>
      <c r="AL227" s="36">
        <v>40957.0</v>
      </c>
      <c r="AM227" s="4">
        <v>0.528824522956</v>
      </c>
      <c r="AN227" s="47">
        <v>42150.0</v>
      </c>
      <c r="AO227" s="49" t="str">
        <f t="shared" si="18"/>
        <v>2012-02</v>
      </c>
      <c r="AP227" t="str">
        <f t="shared" si="19"/>
        <v>2015-05</v>
      </c>
    </row>
    <row r="228">
      <c r="A228" s="36">
        <v>40342.0</v>
      </c>
      <c r="B228" s="34">
        <v>0.845191584201</v>
      </c>
      <c r="C228" s="36">
        <v>41099.0</v>
      </c>
      <c r="D228" t="str">
        <f t="shared" si="6"/>
        <v>2010-06</v>
      </c>
      <c r="E228" s="44" t="str">
        <f t="shared" si="7"/>
        <v>2012-07</v>
      </c>
      <c r="F228" s="45">
        <v>2488.0</v>
      </c>
      <c r="G228" s="36">
        <v>40895.0</v>
      </c>
      <c r="H228" s="34">
        <v>0.709925833243</v>
      </c>
      <c r="I228" s="36">
        <v>42276.0</v>
      </c>
      <c r="J228" t="str">
        <f t="shared" si="8"/>
        <v>2011-12</v>
      </c>
      <c r="K228" s="44" t="str">
        <f t="shared" si="9"/>
        <v>2015-09</v>
      </c>
      <c r="L228" s="46">
        <v>41142.0</v>
      </c>
      <c r="M228" s="4">
        <v>0.6465919195</v>
      </c>
      <c r="N228" s="36">
        <v>40712.0</v>
      </c>
      <c r="O228" t="str">
        <f t="shared" si="10"/>
        <v>2012-08</v>
      </c>
      <c r="P228" t="str">
        <f t="shared" si="11"/>
        <v>2011-06</v>
      </c>
      <c r="Q228" s="36">
        <v>42059.0</v>
      </c>
      <c r="R228" s="4">
        <v>0.600138357375</v>
      </c>
      <c r="S228" s="36">
        <v>41717.0</v>
      </c>
      <c r="T228" t="str">
        <f t="shared" si="12"/>
        <v>2015-02</v>
      </c>
      <c r="U228" t="str">
        <f t="shared" si="13"/>
        <v>2014-03</v>
      </c>
      <c r="AB228" s="36">
        <v>40288.0</v>
      </c>
      <c r="AC228" s="4">
        <v>0.58241728614</v>
      </c>
      <c r="AD228" s="47">
        <v>42170.0</v>
      </c>
      <c r="AE228" t="str">
        <f t="shared" si="14"/>
        <v>2010-04</v>
      </c>
      <c r="AF228" t="str">
        <f t="shared" si="15"/>
        <v>2015-06</v>
      </c>
      <c r="AG228" s="36">
        <v>41225.0</v>
      </c>
      <c r="AH228" s="4">
        <v>0.776283038456</v>
      </c>
      <c r="AJ228" s="48" t="str">
        <f t="shared" si="16"/>
        <v>2012-11</v>
      </c>
      <c r="AL228" s="36">
        <v>40963.0</v>
      </c>
      <c r="AM228" s="4">
        <v>0.750085861499</v>
      </c>
      <c r="AN228" s="47">
        <v>41946.0</v>
      </c>
      <c r="AO228" s="49" t="str">
        <f t="shared" si="18"/>
        <v>2012-02</v>
      </c>
      <c r="AP228" t="str">
        <f t="shared" si="19"/>
        <v>2014-11</v>
      </c>
    </row>
    <row r="229">
      <c r="A229" s="36">
        <v>40343.0</v>
      </c>
      <c r="B229" s="34">
        <v>0.674102159978</v>
      </c>
      <c r="C229" s="36">
        <v>41109.0</v>
      </c>
      <c r="D229" t="str">
        <f t="shared" si="6"/>
        <v>2010-06</v>
      </c>
      <c r="E229" s="44" t="str">
        <f t="shared" si="7"/>
        <v>2012-07</v>
      </c>
      <c r="F229" s="45">
        <v>2421.0</v>
      </c>
      <c r="G229" s="36">
        <v>40899.0</v>
      </c>
      <c r="H229" s="34">
        <v>0.568792913481</v>
      </c>
      <c r="I229" s="36">
        <v>42018.0</v>
      </c>
      <c r="J229" t="str">
        <f t="shared" si="8"/>
        <v>2011-12</v>
      </c>
      <c r="K229" s="44" t="str">
        <f t="shared" si="9"/>
        <v>2015-01</v>
      </c>
      <c r="L229" s="46">
        <v>41143.0</v>
      </c>
      <c r="M229" s="4">
        <v>0.773748918813</v>
      </c>
      <c r="N229" s="36">
        <v>40745.0</v>
      </c>
      <c r="O229" t="str">
        <f t="shared" si="10"/>
        <v>2012-08</v>
      </c>
      <c r="P229" t="str">
        <f t="shared" si="11"/>
        <v>2011-07</v>
      </c>
      <c r="Q229" s="36">
        <v>42060.0</v>
      </c>
      <c r="R229" s="4">
        <v>0.767405991516</v>
      </c>
      <c r="S229" s="36">
        <v>41909.0</v>
      </c>
      <c r="T229" t="str">
        <f t="shared" si="12"/>
        <v>2015-02</v>
      </c>
      <c r="U229" t="str">
        <f t="shared" si="13"/>
        <v>2014-09</v>
      </c>
      <c r="AB229" s="36">
        <v>40289.0</v>
      </c>
      <c r="AC229" s="4">
        <v>0.719800284903</v>
      </c>
      <c r="AD229" s="47">
        <v>42197.0</v>
      </c>
      <c r="AE229" t="str">
        <f t="shared" si="14"/>
        <v>2010-04</v>
      </c>
      <c r="AF229" t="str">
        <f t="shared" si="15"/>
        <v>2015-07</v>
      </c>
      <c r="AG229" s="36">
        <v>41226.0</v>
      </c>
      <c r="AH229" s="4">
        <v>0.855015783123</v>
      </c>
      <c r="AJ229" s="48" t="str">
        <f t="shared" si="16"/>
        <v>2012-11</v>
      </c>
      <c r="AL229" s="36">
        <v>40964.0</v>
      </c>
      <c r="AM229" s="4">
        <v>0.707513750448</v>
      </c>
      <c r="AN229" s="47">
        <v>41966.0</v>
      </c>
      <c r="AO229" s="49" t="str">
        <f t="shared" si="18"/>
        <v>2012-02</v>
      </c>
      <c r="AP229" t="str">
        <f t="shared" si="19"/>
        <v>2014-11</v>
      </c>
    </row>
    <row r="230">
      <c r="A230" s="36">
        <v>40347.0</v>
      </c>
      <c r="B230" s="34">
        <v>0.669962773308</v>
      </c>
      <c r="C230" s="36">
        <v>41115.0</v>
      </c>
      <c r="D230" t="str">
        <f t="shared" si="6"/>
        <v>2010-06</v>
      </c>
      <c r="E230" s="44" t="str">
        <f t="shared" si="7"/>
        <v>2012-07</v>
      </c>
      <c r="F230" s="45">
        <v>2393.0</v>
      </c>
      <c r="G230" s="36">
        <v>40900.0</v>
      </c>
      <c r="H230" s="34">
        <v>0.683867957504</v>
      </c>
      <c r="I230" s="36">
        <v>42024.0</v>
      </c>
      <c r="J230" t="str">
        <f t="shared" si="8"/>
        <v>2011-12</v>
      </c>
      <c r="K230" s="44" t="str">
        <f t="shared" si="9"/>
        <v>2015-01</v>
      </c>
      <c r="L230" s="46">
        <v>41144.0</v>
      </c>
      <c r="M230" s="4">
        <v>0.730990731926</v>
      </c>
      <c r="N230" s="36">
        <v>40766.0</v>
      </c>
      <c r="O230" t="str">
        <f t="shared" si="10"/>
        <v>2012-08</v>
      </c>
      <c r="P230" t="str">
        <f t="shared" si="11"/>
        <v>2011-08</v>
      </c>
      <c r="Q230" s="36">
        <v>42062.0</v>
      </c>
      <c r="R230" s="4">
        <v>0.847227404618</v>
      </c>
      <c r="S230" s="36">
        <v>41919.0</v>
      </c>
      <c r="T230" t="str">
        <f t="shared" si="12"/>
        <v>2015-02</v>
      </c>
      <c r="U230" t="str">
        <f t="shared" si="13"/>
        <v>2014-10</v>
      </c>
      <c r="AB230" s="36">
        <v>40295.0</v>
      </c>
      <c r="AC230" s="4">
        <v>0.827963833562</v>
      </c>
      <c r="AD230" s="47">
        <v>42209.0</v>
      </c>
      <c r="AE230" t="str">
        <f t="shared" si="14"/>
        <v>2010-04</v>
      </c>
      <c r="AF230" t="str">
        <f t="shared" si="15"/>
        <v>2015-07</v>
      </c>
      <c r="AG230" s="36">
        <v>41232.0</v>
      </c>
      <c r="AH230" s="4">
        <v>0.685558811011</v>
      </c>
      <c r="AJ230" s="48" t="str">
        <f t="shared" si="16"/>
        <v>2012-11</v>
      </c>
      <c r="AL230" s="36">
        <v>40970.0</v>
      </c>
      <c r="AM230" s="4">
        <v>0.713074467876</v>
      </c>
      <c r="AN230" s="47">
        <v>41971.0</v>
      </c>
      <c r="AO230" s="49" t="str">
        <f t="shared" si="18"/>
        <v>2012-03</v>
      </c>
      <c r="AP230" t="str">
        <f t="shared" si="19"/>
        <v>2014-11</v>
      </c>
    </row>
    <row r="231">
      <c r="A231" s="36">
        <v>40348.0</v>
      </c>
      <c r="B231" s="34">
        <v>0.698987720819</v>
      </c>
      <c r="C231" s="36">
        <v>41123.0</v>
      </c>
      <c r="D231" t="str">
        <f t="shared" si="6"/>
        <v>2010-06</v>
      </c>
      <c r="E231" s="44" t="str">
        <f t="shared" si="7"/>
        <v>2012-08</v>
      </c>
      <c r="F231" s="45">
        <v>2369.0</v>
      </c>
      <c r="G231" s="36">
        <v>40906.0</v>
      </c>
      <c r="H231" s="34">
        <v>0.718179333312</v>
      </c>
      <c r="I231" s="36">
        <v>42030.0</v>
      </c>
      <c r="J231" t="str">
        <f t="shared" si="8"/>
        <v>2011-12</v>
      </c>
      <c r="K231" s="44" t="str">
        <f t="shared" si="9"/>
        <v>2015-01</v>
      </c>
      <c r="L231" s="46">
        <v>41149.0</v>
      </c>
      <c r="M231" s="4">
        <v>0.527846012856</v>
      </c>
      <c r="N231" s="36">
        <v>42168.0</v>
      </c>
      <c r="O231" t="str">
        <f t="shared" si="10"/>
        <v>2012-08</v>
      </c>
      <c r="P231" t="str">
        <f t="shared" si="11"/>
        <v>2015-06</v>
      </c>
      <c r="Q231" s="36">
        <v>42065.0</v>
      </c>
      <c r="R231" s="4">
        <v>0.701060436831</v>
      </c>
      <c r="S231" s="36">
        <v>41936.0</v>
      </c>
      <c r="T231" t="str">
        <f t="shared" si="12"/>
        <v>2015-03</v>
      </c>
      <c r="U231" t="str">
        <f t="shared" si="13"/>
        <v>2014-10</v>
      </c>
      <c r="AB231" s="36">
        <v>40296.0</v>
      </c>
      <c r="AC231" s="4">
        <v>0.682118413491</v>
      </c>
      <c r="AD231" s="47">
        <v>42223.0</v>
      </c>
      <c r="AE231" t="str">
        <f t="shared" si="14"/>
        <v>2010-04</v>
      </c>
      <c r="AF231" t="str">
        <f t="shared" si="15"/>
        <v>2015-08</v>
      </c>
      <c r="AG231" s="36">
        <v>41233.0</v>
      </c>
      <c r="AH231" s="4">
        <v>0.642860966537</v>
      </c>
      <c r="AJ231" s="48" t="str">
        <f t="shared" si="16"/>
        <v>2012-11</v>
      </c>
      <c r="AL231" s="36">
        <v>40977.0</v>
      </c>
      <c r="AM231" s="4">
        <v>0.688059254389</v>
      </c>
      <c r="AN231" s="47">
        <v>41976.0</v>
      </c>
      <c r="AO231" s="49" t="str">
        <f t="shared" si="18"/>
        <v>2012-03</v>
      </c>
      <c r="AP231" t="str">
        <f t="shared" si="19"/>
        <v>2014-12</v>
      </c>
    </row>
    <row r="232">
      <c r="A232" s="36">
        <v>40349.0</v>
      </c>
      <c r="B232" s="34">
        <v>0.739997113243</v>
      </c>
      <c r="C232" s="36">
        <v>41128.0</v>
      </c>
      <c r="D232" t="str">
        <f t="shared" si="6"/>
        <v>2010-06</v>
      </c>
      <c r="E232" s="44" t="str">
        <f t="shared" si="7"/>
        <v>2012-08</v>
      </c>
      <c r="F232" s="45">
        <v>2325.0</v>
      </c>
      <c r="G232" s="36">
        <v>40907.0</v>
      </c>
      <c r="H232" s="34">
        <v>0.782893521453</v>
      </c>
      <c r="I232" s="36">
        <v>42038.0</v>
      </c>
      <c r="J232" t="str">
        <f t="shared" si="8"/>
        <v>2011-12</v>
      </c>
      <c r="K232" s="44" t="str">
        <f t="shared" si="9"/>
        <v>2015-02</v>
      </c>
      <c r="L232" s="46">
        <v>41150.0</v>
      </c>
      <c r="M232" s="4">
        <v>0.773513774657</v>
      </c>
      <c r="N232" s="36">
        <v>42197.0</v>
      </c>
      <c r="O232" t="str">
        <f t="shared" si="10"/>
        <v>2012-08</v>
      </c>
      <c r="P232" t="str">
        <f t="shared" si="11"/>
        <v>2015-07</v>
      </c>
      <c r="Q232" s="36">
        <v>42075.0</v>
      </c>
      <c r="R232" s="4">
        <v>0.76489903231</v>
      </c>
      <c r="S232" s="36">
        <v>41950.0</v>
      </c>
      <c r="T232" t="str">
        <f t="shared" si="12"/>
        <v>2015-03</v>
      </c>
      <c r="U232" t="str">
        <f t="shared" si="13"/>
        <v>2014-11</v>
      </c>
      <c r="AB232" s="36">
        <v>40302.0</v>
      </c>
      <c r="AC232" s="4">
        <v>0.782405821789</v>
      </c>
      <c r="AD232" s="47">
        <v>42240.0</v>
      </c>
      <c r="AE232" t="str">
        <f t="shared" si="14"/>
        <v>2010-05</v>
      </c>
      <c r="AF232" t="str">
        <f t="shared" si="15"/>
        <v>2015-08</v>
      </c>
      <c r="AG232" s="36">
        <v>41239.0</v>
      </c>
      <c r="AH232" s="4">
        <v>0.71364374247</v>
      </c>
      <c r="AJ232" s="48" t="str">
        <f t="shared" si="16"/>
        <v>2012-11</v>
      </c>
      <c r="AL232" s="36">
        <v>40984.0</v>
      </c>
      <c r="AM232" s="4">
        <v>0.744717354074</v>
      </c>
      <c r="AN232" s="47">
        <v>42011.0</v>
      </c>
      <c r="AO232" s="49" t="str">
        <f t="shared" si="18"/>
        <v>2012-03</v>
      </c>
      <c r="AP232" t="str">
        <f t="shared" si="19"/>
        <v>2015-01</v>
      </c>
    </row>
    <row r="233">
      <c r="A233" s="36">
        <v>40354.0</v>
      </c>
      <c r="B233" s="34">
        <v>0.361516174306</v>
      </c>
      <c r="C233" s="36">
        <v>41137.0</v>
      </c>
      <c r="D233" t="str">
        <f t="shared" si="6"/>
        <v>2010-06</v>
      </c>
      <c r="E233" s="44" t="str">
        <f t="shared" si="7"/>
        <v>2012-08</v>
      </c>
      <c r="F233" s="45">
        <v>2314.0</v>
      </c>
      <c r="G233" s="36">
        <v>40908.0</v>
      </c>
      <c r="H233" s="34">
        <v>0.927199917311</v>
      </c>
      <c r="I233" s="36">
        <v>42044.0</v>
      </c>
      <c r="J233" t="str">
        <f t="shared" si="8"/>
        <v>2011-12</v>
      </c>
      <c r="K233" s="44" t="str">
        <f t="shared" si="9"/>
        <v>2015-02</v>
      </c>
      <c r="L233" s="46">
        <v>41156.0</v>
      </c>
      <c r="M233" s="4">
        <v>0.79297804834</v>
      </c>
      <c r="N233" s="36">
        <v>42204.0</v>
      </c>
      <c r="O233" t="str">
        <f t="shared" si="10"/>
        <v>2012-09</v>
      </c>
      <c r="P233" t="str">
        <f t="shared" si="11"/>
        <v>2015-07</v>
      </c>
      <c r="Q233" s="36">
        <v>42081.0</v>
      </c>
      <c r="R233" s="4">
        <v>0.743862653865</v>
      </c>
      <c r="S233" s="36">
        <v>41974.0</v>
      </c>
      <c r="T233" t="str">
        <f t="shared" si="12"/>
        <v>2015-03</v>
      </c>
      <c r="U233" t="str">
        <f t="shared" si="13"/>
        <v>2014-12</v>
      </c>
      <c r="AB233" s="36">
        <v>40303.0</v>
      </c>
      <c r="AC233" s="4">
        <v>0.68047898555</v>
      </c>
      <c r="AD233" s="47">
        <v>42276.0</v>
      </c>
      <c r="AE233" t="str">
        <f t="shared" si="14"/>
        <v>2010-05</v>
      </c>
      <c r="AF233" t="str">
        <f t="shared" si="15"/>
        <v>2015-09</v>
      </c>
      <c r="AG233" s="36">
        <v>41240.0</v>
      </c>
      <c r="AH233" s="4">
        <v>0.890653956402</v>
      </c>
      <c r="AJ233" s="48" t="str">
        <f t="shared" si="16"/>
        <v>2012-11</v>
      </c>
      <c r="AL233" s="36">
        <v>40991.0</v>
      </c>
      <c r="AM233" s="4">
        <v>0.695266980298</v>
      </c>
      <c r="AN233" s="47">
        <v>42011.0</v>
      </c>
      <c r="AO233" s="49" t="str">
        <f t="shared" si="18"/>
        <v>2012-03</v>
      </c>
      <c r="AP233" t="str">
        <f t="shared" si="19"/>
        <v>2015-01</v>
      </c>
    </row>
    <row r="234">
      <c r="A234" s="36">
        <v>40355.0</v>
      </c>
      <c r="B234" s="34">
        <v>0.806754767641</v>
      </c>
      <c r="C234" s="36">
        <v>41143.0</v>
      </c>
      <c r="D234" t="str">
        <f t="shared" si="6"/>
        <v>2010-06</v>
      </c>
      <c r="E234" s="44" t="str">
        <f t="shared" si="7"/>
        <v>2012-08</v>
      </c>
      <c r="F234" s="45">
        <v>2263.0</v>
      </c>
      <c r="G234" s="36">
        <v>40913.0</v>
      </c>
      <c r="H234" s="34">
        <v>0.761929794398</v>
      </c>
      <c r="I234" s="36">
        <v>42059.0</v>
      </c>
      <c r="J234" t="str">
        <f t="shared" si="8"/>
        <v>2012-01</v>
      </c>
      <c r="K234" s="44" t="str">
        <f t="shared" si="9"/>
        <v>2015-02</v>
      </c>
      <c r="L234" s="46">
        <v>41157.0</v>
      </c>
      <c r="M234" s="4">
        <v>0.685576403246</v>
      </c>
      <c r="N234" s="36">
        <v>42216.0</v>
      </c>
      <c r="O234" t="str">
        <f t="shared" si="10"/>
        <v>2012-09</v>
      </c>
      <c r="P234" t="str">
        <f t="shared" si="11"/>
        <v>2015-07</v>
      </c>
      <c r="Q234" s="36">
        <v>42087.0</v>
      </c>
      <c r="R234" s="4">
        <v>0.613619992312</v>
      </c>
      <c r="S234" s="36">
        <v>41975.0</v>
      </c>
      <c r="T234" t="str">
        <f t="shared" si="12"/>
        <v>2015-03</v>
      </c>
      <c r="U234" t="str">
        <f t="shared" si="13"/>
        <v>2014-12</v>
      </c>
      <c r="AB234" s="36">
        <v>40309.0</v>
      </c>
      <c r="AC234" s="4">
        <v>0.721536102738</v>
      </c>
      <c r="AD234" s="47">
        <v>42279.0</v>
      </c>
      <c r="AE234" t="str">
        <f t="shared" si="14"/>
        <v>2010-05</v>
      </c>
      <c r="AF234" t="str">
        <f t="shared" si="15"/>
        <v>2015-10</v>
      </c>
      <c r="AG234" s="36">
        <v>41246.0</v>
      </c>
      <c r="AH234" s="4">
        <v>0.650480703926</v>
      </c>
      <c r="AJ234" s="48" t="str">
        <f t="shared" si="16"/>
        <v>2012-12</v>
      </c>
      <c r="AL234" s="36">
        <v>40992.0</v>
      </c>
      <c r="AM234" s="4">
        <v>0.816776901532</v>
      </c>
      <c r="AN234" s="47">
        <v>42037.0</v>
      </c>
      <c r="AO234" s="49" t="str">
        <f t="shared" si="18"/>
        <v>2012-03</v>
      </c>
      <c r="AP234" t="str">
        <f t="shared" si="19"/>
        <v>2015-02</v>
      </c>
    </row>
    <row r="235">
      <c r="A235" s="36">
        <v>40356.0</v>
      </c>
      <c r="B235" s="34">
        <v>0.676877979572</v>
      </c>
      <c r="C235" s="36">
        <v>41163.0</v>
      </c>
      <c r="D235" t="str">
        <f t="shared" si="6"/>
        <v>2010-06</v>
      </c>
      <c r="E235" s="44" t="str">
        <f t="shared" si="7"/>
        <v>2012-09</v>
      </c>
      <c r="F235" s="45">
        <v>2185.0</v>
      </c>
      <c r="G235" s="36">
        <v>40914.0</v>
      </c>
      <c r="H235" s="34">
        <v>0.672874947266</v>
      </c>
      <c r="I235" s="36">
        <v>42080.0</v>
      </c>
      <c r="J235" t="str">
        <f t="shared" si="8"/>
        <v>2012-01</v>
      </c>
      <c r="K235" s="44" t="str">
        <f t="shared" si="9"/>
        <v>2015-03</v>
      </c>
      <c r="L235" s="46">
        <v>41162.0</v>
      </c>
      <c r="M235" s="4">
        <v>0.72075573126</v>
      </c>
      <c r="N235" s="36">
        <v>42226.0</v>
      </c>
      <c r="O235" t="str">
        <f t="shared" si="10"/>
        <v>2012-09</v>
      </c>
      <c r="P235" t="str">
        <f t="shared" si="11"/>
        <v>2015-08</v>
      </c>
      <c r="Q235" s="36">
        <v>42089.0</v>
      </c>
      <c r="R235" s="4">
        <v>0.712753236543</v>
      </c>
      <c r="S235" s="36">
        <v>41975.0</v>
      </c>
      <c r="T235" t="str">
        <f t="shared" si="12"/>
        <v>2015-03</v>
      </c>
      <c r="U235" t="str">
        <f t="shared" si="13"/>
        <v>2014-12</v>
      </c>
      <c r="AB235" s="36">
        <v>40310.0</v>
      </c>
      <c r="AC235" s="4">
        <v>0.842056897573</v>
      </c>
      <c r="AD235" s="47">
        <v>42314.0</v>
      </c>
      <c r="AE235" t="str">
        <f t="shared" si="14"/>
        <v>2010-05</v>
      </c>
      <c r="AF235" t="str">
        <f t="shared" si="15"/>
        <v>2015-11</v>
      </c>
      <c r="AG235" s="36">
        <v>41247.0</v>
      </c>
      <c r="AH235" s="4">
        <v>0.85275510006</v>
      </c>
      <c r="AJ235" s="48" t="str">
        <f t="shared" si="16"/>
        <v>2012-12</v>
      </c>
      <c r="AL235" s="36">
        <v>40998.0</v>
      </c>
      <c r="AM235" s="4">
        <v>0.749139658543</v>
      </c>
      <c r="AN235" s="47">
        <v>42080.0</v>
      </c>
      <c r="AO235" s="49" t="str">
        <f t="shared" si="18"/>
        <v>2012-03</v>
      </c>
      <c r="AP235" t="str">
        <f t="shared" si="19"/>
        <v>2015-03</v>
      </c>
    </row>
    <row r="236">
      <c r="A236" s="36">
        <v>40357.0</v>
      </c>
      <c r="B236" s="34">
        <v>0.484721227767</v>
      </c>
      <c r="C236" s="36">
        <v>41177.0</v>
      </c>
      <c r="D236" t="str">
        <f t="shared" si="6"/>
        <v>2010-06</v>
      </c>
      <c r="E236" s="44" t="str">
        <f t="shared" si="7"/>
        <v>2012-09</v>
      </c>
      <c r="F236" s="45">
        <v>2123.0</v>
      </c>
      <c r="G236" s="36">
        <v>40915.0</v>
      </c>
      <c r="H236" s="34">
        <v>0.856473769463</v>
      </c>
      <c r="I236" s="36">
        <v>42104.0</v>
      </c>
      <c r="J236" t="str">
        <f t="shared" si="8"/>
        <v>2012-01</v>
      </c>
      <c r="K236" s="44" t="str">
        <f t="shared" si="9"/>
        <v>2015-04</v>
      </c>
      <c r="L236" s="46">
        <v>41163.0</v>
      </c>
      <c r="M236" s="4">
        <v>0.789355536509</v>
      </c>
      <c r="N236" s="36">
        <v>42229.0</v>
      </c>
      <c r="O236" t="str">
        <f t="shared" si="10"/>
        <v>2012-09</v>
      </c>
      <c r="P236" t="str">
        <f t="shared" si="11"/>
        <v>2015-08</v>
      </c>
      <c r="Q236" s="36">
        <v>42095.0</v>
      </c>
      <c r="R236" s="4">
        <v>0.723276499635</v>
      </c>
      <c r="S236" s="36">
        <v>41980.0</v>
      </c>
      <c r="T236" t="str">
        <f t="shared" si="12"/>
        <v>2015-04</v>
      </c>
      <c r="U236" t="str">
        <f t="shared" si="13"/>
        <v>2014-12</v>
      </c>
      <c r="AB236" s="36">
        <v>40316.0</v>
      </c>
      <c r="AC236" s="4">
        <v>0.673392872796</v>
      </c>
      <c r="AD236" s="47">
        <v>42331.0</v>
      </c>
      <c r="AE236" t="str">
        <f t="shared" si="14"/>
        <v>2010-05</v>
      </c>
      <c r="AF236" t="str">
        <f t="shared" si="15"/>
        <v>2015-11</v>
      </c>
      <c r="AG236" s="36">
        <v>41252.0</v>
      </c>
      <c r="AH236" s="4">
        <v>0.828688677056</v>
      </c>
      <c r="AJ236" s="48" t="str">
        <f t="shared" si="16"/>
        <v>2012-12</v>
      </c>
      <c r="AL236" s="36">
        <v>40999.0</v>
      </c>
      <c r="AM236" s="4">
        <v>0.866860237096</v>
      </c>
      <c r="AN236" s="47">
        <v>42095.0</v>
      </c>
      <c r="AO236" s="49" t="str">
        <f t="shared" si="18"/>
        <v>2012-03</v>
      </c>
      <c r="AP236" t="str">
        <f t="shared" si="19"/>
        <v>2015-04</v>
      </c>
    </row>
    <row r="237">
      <c r="A237" s="36">
        <v>40362.0</v>
      </c>
      <c r="B237" s="34">
        <v>0.624775334597</v>
      </c>
      <c r="C237" s="36">
        <v>41179.0</v>
      </c>
      <c r="D237" t="str">
        <f t="shared" si="6"/>
        <v>2010-07</v>
      </c>
      <c r="E237" s="44" t="str">
        <f t="shared" si="7"/>
        <v>2012-09</v>
      </c>
      <c r="F237" s="45">
        <v>2089.0</v>
      </c>
      <c r="G237" s="36">
        <v>40916.0</v>
      </c>
      <c r="H237" s="34">
        <v>0.854749758124</v>
      </c>
      <c r="I237" s="36">
        <v>42118.0</v>
      </c>
      <c r="J237" t="str">
        <f t="shared" si="8"/>
        <v>2012-01</v>
      </c>
      <c r="K237" s="44" t="str">
        <f t="shared" si="9"/>
        <v>2015-04</v>
      </c>
      <c r="L237" s="46">
        <v>41164.0</v>
      </c>
      <c r="M237" s="4">
        <v>0.770696292393</v>
      </c>
      <c r="N237" s="36">
        <v>42238.0</v>
      </c>
      <c r="O237" t="str">
        <f t="shared" si="10"/>
        <v>2012-09</v>
      </c>
      <c r="P237" t="str">
        <f t="shared" si="11"/>
        <v>2015-08</v>
      </c>
      <c r="Q237" s="36">
        <v>42101.0</v>
      </c>
      <c r="R237" s="4">
        <v>0.469198262912</v>
      </c>
      <c r="S237" s="36">
        <v>42040.0</v>
      </c>
      <c r="T237" t="str">
        <f t="shared" si="12"/>
        <v>2015-04</v>
      </c>
      <c r="U237" t="str">
        <f t="shared" si="13"/>
        <v>2015-02</v>
      </c>
      <c r="AB237" s="36">
        <v>40317.0</v>
      </c>
      <c r="AC237" s="4">
        <v>0.793656633085</v>
      </c>
      <c r="AD237" s="47">
        <v>42359.0</v>
      </c>
      <c r="AE237" t="str">
        <f t="shared" si="14"/>
        <v>2010-05</v>
      </c>
      <c r="AF237" t="str">
        <f t="shared" si="15"/>
        <v>2015-12</v>
      </c>
      <c r="AG237" s="36">
        <v>41253.0</v>
      </c>
      <c r="AH237" s="4">
        <v>0.704848473668</v>
      </c>
      <c r="AJ237" s="48" t="str">
        <f t="shared" si="16"/>
        <v>2012-12</v>
      </c>
      <c r="AL237" s="36">
        <v>41005.0</v>
      </c>
      <c r="AM237" s="4">
        <v>0.73337750458</v>
      </c>
      <c r="AN237" s="47">
        <v>42135.0</v>
      </c>
      <c r="AO237" s="49" t="str">
        <f t="shared" si="18"/>
        <v>2012-04</v>
      </c>
      <c r="AP237" t="str">
        <f t="shared" si="19"/>
        <v>2015-05</v>
      </c>
    </row>
    <row r="238">
      <c r="A238" s="36">
        <v>40363.0</v>
      </c>
      <c r="B238" s="34">
        <v>0.68319185011</v>
      </c>
      <c r="C238" s="36">
        <v>41194.0</v>
      </c>
      <c r="D238" t="str">
        <f t="shared" si="6"/>
        <v>2010-07</v>
      </c>
      <c r="E238" s="44" t="str">
        <f t="shared" si="7"/>
        <v>2012-10</v>
      </c>
      <c r="F238" s="45">
        <v>2033.0</v>
      </c>
      <c r="G238" s="36">
        <v>40920.0</v>
      </c>
      <c r="H238" s="34">
        <v>0.543023355365</v>
      </c>
      <c r="I238" s="36">
        <v>42136.0</v>
      </c>
      <c r="J238" t="str">
        <f t="shared" si="8"/>
        <v>2012-01</v>
      </c>
      <c r="K238" s="44" t="str">
        <f t="shared" si="9"/>
        <v>2015-05</v>
      </c>
      <c r="L238" s="46">
        <v>41169.0</v>
      </c>
      <c r="M238" s="4">
        <v>0.943470467207</v>
      </c>
      <c r="N238" s="36">
        <v>42253.0</v>
      </c>
      <c r="O238" t="str">
        <f t="shared" si="10"/>
        <v>2012-09</v>
      </c>
      <c r="P238" t="str">
        <f t="shared" si="11"/>
        <v>2015-09</v>
      </c>
      <c r="Q238" s="36">
        <v>42103.0</v>
      </c>
      <c r="R238" s="4">
        <v>0.594436795797</v>
      </c>
      <c r="S238" s="36">
        <v>42112.0</v>
      </c>
      <c r="T238" t="str">
        <f t="shared" si="12"/>
        <v>2015-04</v>
      </c>
      <c r="U238" t="str">
        <f t="shared" si="13"/>
        <v>2015-04</v>
      </c>
      <c r="AB238" s="36">
        <v>40323.0</v>
      </c>
      <c r="AC238" s="4">
        <v>0.713065574722</v>
      </c>
      <c r="AD238" s="47">
        <v>42394.0</v>
      </c>
      <c r="AE238" t="str">
        <f t="shared" si="14"/>
        <v>2010-05</v>
      </c>
      <c r="AF238" t="str">
        <f t="shared" si="15"/>
        <v>2016-01</v>
      </c>
      <c r="AG238" s="36">
        <v>41260.0</v>
      </c>
      <c r="AH238" s="4">
        <v>0.73719071171</v>
      </c>
      <c r="AJ238" s="48" t="str">
        <f t="shared" si="16"/>
        <v>2012-12</v>
      </c>
      <c r="AL238" s="36">
        <v>41012.0</v>
      </c>
      <c r="AM238" s="4">
        <v>0.730772716737</v>
      </c>
      <c r="AN238" s="47">
        <v>42151.0</v>
      </c>
      <c r="AO238" s="49" t="str">
        <f t="shared" si="18"/>
        <v>2012-04</v>
      </c>
      <c r="AP238" t="str">
        <f t="shared" si="19"/>
        <v>2015-05</v>
      </c>
    </row>
    <row r="239">
      <c r="A239" s="36">
        <v>40368.0</v>
      </c>
      <c r="B239" s="34">
        <v>0.738722025997</v>
      </c>
      <c r="C239" s="36">
        <v>41207.0</v>
      </c>
      <c r="D239" t="str">
        <f t="shared" si="6"/>
        <v>2010-07</v>
      </c>
      <c r="E239" s="44" t="str">
        <f t="shared" si="7"/>
        <v>2012-10</v>
      </c>
      <c r="F239" s="45">
        <v>2011.0</v>
      </c>
      <c r="G239" s="36">
        <v>40921.0</v>
      </c>
      <c r="H239" s="34">
        <v>0.947471470681</v>
      </c>
      <c r="I239" s="36">
        <v>42151.0</v>
      </c>
      <c r="J239" t="str">
        <f t="shared" si="8"/>
        <v>2012-01</v>
      </c>
      <c r="K239" s="44" t="str">
        <f t="shared" si="9"/>
        <v>2015-05</v>
      </c>
      <c r="L239" s="46">
        <v>41170.0</v>
      </c>
      <c r="M239" s="4">
        <v>0.578212430023</v>
      </c>
      <c r="N239" s="36">
        <v>42384.0</v>
      </c>
      <c r="O239" t="str">
        <f t="shared" si="10"/>
        <v>2012-09</v>
      </c>
      <c r="P239" t="str">
        <f t="shared" si="11"/>
        <v>2016-01</v>
      </c>
      <c r="Q239" s="36">
        <v>42110.0</v>
      </c>
      <c r="R239" s="4">
        <v>0.726149594105</v>
      </c>
      <c r="S239" s="36">
        <v>42115.0</v>
      </c>
      <c r="T239" t="str">
        <f t="shared" si="12"/>
        <v>2015-04</v>
      </c>
      <c r="U239" t="str">
        <f t="shared" si="13"/>
        <v>2015-04</v>
      </c>
      <c r="AB239" s="36">
        <v>40324.0</v>
      </c>
      <c r="AC239" s="4">
        <v>0.414417197729</v>
      </c>
      <c r="AD239" s="47">
        <v>42406.0</v>
      </c>
      <c r="AE239" t="str">
        <f t="shared" si="14"/>
        <v>2010-05</v>
      </c>
      <c r="AF239" t="str">
        <f t="shared" si="15"/>
        <v>2016-02</v>
      </c>
      <c r="AG239" s="36">
        <v>41267.0</v>
      </c>
      <c r="AH239" s="4">
        <v>0.686658952821</v>
      </c>
      <c r="AJ239" s="48" t="str">
        <f t="shared" si="16"/>
        <v>2012-12</v>
      </c>
      <c r="AL239" s="36">
        <v>41013.0</v>
      </c>
      <c r="AM239" s="4">
        <v>0.594716976343</v>
      </c>
      <c r="AN239" s="47">
        <v>42153.0</v>
      </c>
      <c r="AO239" s="49" t="str">
        <f t="shared" si="18"/>
        <v>2012-04</v>
      </c>
      <c r="AP239" t="str">
        <f t="shared" si="19"/>
        <v>2015-05</v>
      </c>
    </row>
    <row r="240">
      <c r="A240" s="36">
        <v>40369.0</v>
      </c>
      <c r="B240" s="34">
        <v>0.660916976512</v>
      </c>
      <c r="C240" s="36">
        <v>41207.0</v>
      </c>
      <c r="D240" t="str">
        <f t="shared" si="6"/>
        <v>2010-07</v>
      </c>
      <c r="E240" s="44" t="str">
        <f t="shared" si="7"/>
        <v>2012-10</v>
      </c>
      <c r="F240" s="45">
        <v>1944.0</v>
      </c>
      <c r="G240" s="36">
        <v>40922.0</v>
      </c>
      <c r="H240" s="34">
        <v>0.684971205704</v>
      </c>
      <c r="I240" s="36">
        <v>42171.0</v>
      </c>
      <c r="J240" t="str">
        <f t="shared" si="8"/>
        <v>2012-01</v>
      </c>
      <c r="K240" s="44" t="str">
        <f t="shared" si="9"/>
        <v>2015-06</v>
      </c>
      <c r="L240" s="46">
        <v>41171.0</v>
      </c>
      <c r="M240" s="4">
        <v>0.76362828295</v>
      </c>
      <c r="N240" s="36">
        <v>42233.0</v>
      </c>
      <c r="O240" t="str">
        <f t="shared" si="10"/>
        <v>2012-09</v>
      </c>
      <c r="P240" t="str">
        <f t="shared" si="11"/>
        <v>2015-08</v>
      </c>
      <c r="Q240" s="36">
        <v>42115.0</v>
      </c>
      <c r="R240" s="4">
        <v>0.590908278625</v>
      </c>
      <c r="S240" s="36">
        <v>42115.0</v>
      </c>
      <c r="T240" t="str">
        <f t="shared" si="12"/>
        <v>2015-04</v>
      </c>
      <c r="U240" t="str">
        <f t="shared" si="13"/>
        <v>2015-04</v>
      </c>
      <c r="AB240" s="36">
        <v>40330.0</v>
      </c>
      <c r="AC240" s="4">
        <v>0.642834241196</v>
      </c>
      <c r="AD240" s="47">
        <v>42443.0</v>
      </c>
      <c r="AE240" t="str">
        <f t="shared" si="14"/>
        <v>2010-06</v>
      </c>
      <c r="AF240" t="str">
        <f t="shared" si="15"/>
        <v>2016-03</v>
      </c>
      <c r="AG240" s="36">
        <v>41268.0</v>
      </c>
      <c r="AH240" s="4">
        <v>0.7399923586</v>
      </c>
      <c r="AJ240" s="48" t="str">
        <f t="shared" si="16"/>
        <v>2012-12</v>
      </c>
      <c r="AL240" s="36">
        <v>41019.0</v>
      </c>
      <c r="AM240" s="4">
        <v>0.731717042223</v>
      </c>
      <c r="AN240" s="47">
        <v>42198.0</v>
      </c>
      <c r="AO240" s="49" t="str">
        <f t="shared" si="18"/>
        <v>2012-04</v>
      </c>
      <c r="AP240" t="str">
        <f t="shared" si="19"/>
        <v>2015-07</v>
      </c>
    </row>
    <row r="241">
      <c r="A241" s="36">
        <v>40370.0</v>
      </c>
      <c r="B241" s="34">
        <v>0.671259695266</v>
      </c>
      <c r="C241" s="36">
        <v>41239.0</v>
      </c>
      <c r="D241" t="str">
        <f t="shared" si="6"/>
        <v>2010-07</v>
      </c>
      <c r="E241" s="44" t="str">
        <f t="shared" si="7"/>
        <v>2012-11</v>
      </c>
      <c r="F241" s="45">
        <v>1908.0</v>
      </c>
      <c r="G241" s="36">
        <v>40923.0</v>
      </c>
      <c r="H241" s="34">
        <v>0.878411892271</v>
      </c>
      <c r="I241" s="36">
        <v>42191.0</v>
      </c>
      <c r="J241" t="str">
        <f t="shared" si="8"/>
        <v>2012-01</v>
      </c>
      <c r="K241" s="44" t="str">
        <f t="shared" si="9"/>
        <v>2015-07</v>
      </c>
      <c r="L241" s="46">
        <v>41172.0</v>
      </c>
      <c r="M241" s="4">
        <v>0.854951492328</v>
      </c>
      <c r="N241" s="36">
        <v>42238.0</v>
      </c>
      <c r="O241" t="str">
        <f t="shared" si="10"/>
        <v>2012-09</v>
      </c>
      <c r="P241" t="str">
        <f t="shared" si="11"/>
        <v>2015-08</v>
      </c>
      <c r="Q241" s="36">
        <v>42117.0</v>
      </c>
      <c r="R241" s="4">
        <v>0.690690381313</v>
      </c>
      <c r="S241" s="36">
        <v>42130.0</v>
      </c>
      <c r="T241" t="str">
        <f t="shared" si="12"/>
        <v>2015-04</v>
      </c>
      <c r="U241" t="str">
        <f t="shared" si="13"/>
        <v>2015-05</v>
      </c>
      <c r="AB241" s="36">
        <v>40331.0</v>
      </c>
      <c r="AC241" s="4">
        <v>0.655273901821</v>
      </c>
      <c r="AD241" s="47">
        <v>42382.0</v>
      </c>
      <c r="AE241" t="str">
        <f t="shared" si="14"/>
        <v>2010-06</v>
      </c>
      <c r="AF241" t="str">
        <f t="shared" si="15"/>
        <v>2016-01</v>
      </c>
      <c r="AG241" s="36">
        <v>41274.0</v>
      </c>
      <c r="AH241" s="4">
        <v>0.725170745516</v>
      </c>
      <c r="AJ241" s="48" t="str">
        <f t="shared" si="16"/>
        <v>2012-12</v>
      </c>
      <c r="AL241" s="36">
        <v>41020.0</v>
      </c>
      <c r="AM241" s="4">
        <v>0.871663479465</v>
      </c>
      <c r="AN241" s="47">
        <v>42211.0</v>
      </c>
      <c r="AO241" s="49" t="str">
        <f t="shared" si="18"/>
        <v>2012-04</v>
      </c>
      <c r="AP241" t="str">
        <f t="shared" si="19"/>
        <v>2015-07</v>
      </c>
    </row>
    <row r="242">
      <c r="A242" s="36">
        <v>40376.0</v>
      </c>
      <c r="B242" s="34">
        <v>0.595343099951</v>
      </c>
      <c r="C242" s="36">
        <v>41256.0</v>
      </c>
      <c r="D242" t="str">
        <f t="shared" si="6"/>
        <v>2010-07</v>
      </c>
      <c r="E242" s="44" t="str">
        <f t="shared" si="7"/>
        <v>2012-12</v>
      </c>
      <c r="F242" s="45">
        <v>1891.0</v>
      </c>
      <c r="G242" s="36">
        <v>40927.0</v>
      </c>
      <c r="H242" s="34">
        <v>0.777599282156</v>
      </c>
      <c r="I242" s="36">
        <v>42200.0</v>
      </c>
      <c r="J242" t="str">
        <f t="shared" si="8"/>
        <v>2012-01</v>
      </c>
      <c r="K242" s="44" t="str">
        <f t="shared" si="9"/>
        <v>2015-07</v>
      </c>
      <c r="L242" s="46">
        <v>41176.0</v>
      </c>
      <c r="M242" s="4">
        <v>0.765386980444</v>
      </c>
      <c r="N242" s="36">
        <v>42253.0</v>
      </c>
      <c r="O242" t="str">
        <f t="shared" si="10"/>
        <v>2012-09</v>
      </c>
      <c r="P242" t="str">
        <f t="shared" si="11"/>
        <v>2015-09</v>
      </c>
      <c r="Q242" s="36">
        <v>42121.0</v>
      </c>
      <c r="R242" s="4">
        <v>0.45849733279</v>
      </c>
      <c r="S242" s="36">
        <v>42131.0</v>
      </c>
      <c r="T242" t="str">
        <f t="shared" si="12"/>
        <v>2015-04</v>
      </c>
      <c r="U242" t="str">
        <f t="shared" si="13"/>
        <v>2015-05</v>
      </c>
      <c r="AB242" s="36">
        <v>40337.0</v>
      </c>
      <c r="AC242" s="4">
        <v>0.70221879378</v>
      </c>
      <c r="AD242" s="47">
        <v>42407.0</v>
      </c>
      <c r="AE242" t="str">
        <f t="shared" si="14"/>
        <v>2010-06</v>
      </c>
      <c r="AF242" t="str">
        <f t="shared" si="15"/>
        <v>2016-02</v>
      </c>
      <c r="AG242" s="36">
        <v>41275.0</v>
      </c>
      <c r="AH242" s="4">
        <v>0.826156192724</v>
      </c>
      <c r="AJ242" s="48" t="str">
        <f t="shared" si="16"/>
        <v>2013-01</v>
      </c>
      <c r="AL242" s="36">
        <v>41026.0</v>
      </c>
      <c r="AM242" s="4">
        <v>0.613208795106</v>
      </c>
      <c r="AN242" s="47">
        <v>42331.0</v>
      </c>
      <c r="AO242" s="49" t="str">
        <f t="shared" si="18"/>
        <v>2012-04</v>
      </c>
      <c r="AP242" t="str">
        <f t="shared" si="19"/>
        <v>2015-11</v>
      </c>
    </row>
    <row r="243">
      <c r="A243" s="36">
        <v>40377.0</v>
      </c>
      <c r="B243" s="34">
        <v>0.588997895075</v>
      </c>
      <c r="C243" s="36">
        <v>41284.0</v>
      </c>
      <c r="D243" t="str">
        <f t="shared" si="6"/>
        <v>2010-07</v>
      </c>
      <c r="E243" s="44" t="str">
        <f t="shared" si="7"/>
        <v>2013-01</v>
      </c>
      <c r="F243" s="45">
        <v>1805.0</v>
      </c>
      <c r="G243" s="36">
        <v>40928.0</v>
      </c>
      <c r="H243" s="34">
        <v>0.754341974097</v>
      </c>
      <c r="I243" s="36">
        <v>42229.0</v>
      </c>
      <c r="J243" t="str">
        <f t="shared" si="8"/>
        <v>2012-01</v>
      </c>
      <c r="K243" s="44" t="str">
        <f t="shared" si="9"/>
        <v>2015-08</v>
      </c>
      <c r="L243" s="46">
        <v>41177.0</v>
      </c>
      <c r="M243" s="4">
        <v>0.769577657205</v>
      </c>
      <c r="N243" s="36">
        <v>42259.0</v>
      </c>
      <c r="O243" t="str">
        <f t="shared" si="10"/>
        <v>2012-09</v>
      </c>
      <c r="P243" t="str">
        <f t="shared" si="11"/>
        <v>2015-09</v>
      </c>
      <c r="Q243" s="36">
        <v>42122.0</v>
      </c>
      <c r="R243" s="4">
        <v>0.988522609983</v>
      </c>
      <c r="S243" s="36">
        <v>42140.0</v>
      </c>
      <c r="T243" t="str">
        <f t="shared" si="12"/>
        <v>2015-04</v>
      </c>
      <c r="U243" t="str">
        <f t="shared" si="13"/>
        <v>2015-05</v>
      </c>
      <c r="AB243" s="36">
        <v>40338.0</v>
      </c>
      <c r="AC243" s="4">
        <v>0.798038924566</v>
      </c>
      <c r="AD243" s="47">
        <v>42428.0</v>
      </c>
      <c r="AE243" t="str">
        <f t="shared" si="14"/>
        <v>2010-06</v>
      </c>
      <c r="AF243" t="str">
        <f t="shared" si="15"/>
        <v>2016-02</v>
      </c>
      <c r="AG243" s="36">
        <v>41281.0</v>
      </c>
      <c r="AH243" s="4">
        <v>0.811317412538</v>
      </c>
      <c r="AJ243" s="48" t="str">
        <f t="shared" si="16"/>
        <v>2013-01</v>
      </c>
      <c r="AL243" s="36">
        <v>41027.0</v>
      </c>
      <c r="AM243" s="4">
        <v>0.975268611317</v>
      </c>
      <c r="AN243" s="47">
        <v>42383.0</v>
      </c>
      <c r="AO243" s="49" t="str">
        <f t="shared" si="18"/>
        <v>2012-04</v>
      </c>
      <c r="AP243" t="str">
        <f t="shared" si="19"/>
        <v>2016-01</v>
      </c>
    </row>
    <row r="244">
      <c r="A244" s="36">
        <v>40378.0</v>
      </c>
      <c r="B244" s="34">
        <v>0.655512898776</v>
      </c>
      <c r="C244" s="36">
        <v>41292.0</v>
      </c>
      <c r="D244" t="str">
        <f t="shared" si="6"/>
        <v>2010-07</v>
      </c>
      <c r="E244" s="44" t="str">
        <f t="shared" si="7"/>
        <v>2013-01</v>
      </c>
      <c r="F244" s="45">
        <v>1779.0</v>
      </c>
      <c r="G244" s="36">
        <v>40929.0</v>
      </c>
      <c r="H244" s="34">
        <v>0.666538005422</v>
      </c>
      <c r="I244" s="36">
        <v>42244.0</v>
      </c>
      <c r="J244" t="str">
        <f t="shared" si="8"/>
        <v>2012-01</v>
      </c>
      <c r="K244" s="44" t="str">
        <f t="shared" si="9"/>
        <v>2015-08</v>
      </c>
      <c r="L244" s="46">
        <v>41178.0</v>
      </c>
      <c r="M244" s="4">
        <v>0.739008534386</v>
      </c>
      <c r="N244" s="36">
        <v>42282.0</v>
      </c>
      <c r="O244" t="str">
        <f t="shared" si="10"/>
        <v>2012-09</v>
      </c>
      <c r="P244" t="str">
        <f t="shared" si="11"/>
        <v>2015-10</v>
      </c>
      <c r="Q244" s="36">
        <v>42124.0</v>
      </c>
      <c r="R244" s="4">
        <v>0.805024527431</v>
      </c>
      <c r="S244" s="36">
        <v>42146.0</v>
      </c>
      <c r="T244" t="str">
        <f t="shared" si="12"/>
        <v>2015-04</v>
      </c>
      <c r="U244" t="str">
        <f t="shared" si="13"/>
        <v>2015-05</v>
      </c>
      <c r="AB244" s="36">
        <v>40344.0</v>
      </c>
      <c r="AC244" s="4">
        <v>0.682956822552</v>
      </c>
      <c r="AD244" s="47">
        <v>42443.0</v>
      </c>
      <c r="AE244" t="str">
        <f t="shared" si="14"/>
        <v>2010-06</v>
      </c>
      <c r="AF244" t="str">
        <f t="shared" si="15"/>
        <v>2016-03</v>
      </c>
      <c r="AG244" s="36">
        <v>41282.0</v>
      </c>
      <c r="AH244" s="4">
        <v>0.854458600419</v>
      </c>
      <c r="AJ244" s="48" t="str">
        <f t="shared" si="16"/>
        <v>2013-01</v>
      </c>
      <c r="AL244" s="36">
        <v>41033.0</v>
      </c>
      <c r="AM244" s="4">
        <v>0.706344231973</v>
      </c>
      <c r="AN244" s="47">
        <v>42104.0</v>
      </c>
      <c r="AO244" s="49" t="str">
        <f t="shared" si="18"/>
        <v>2012-05</v>
      </c>
      <c r="AP244" t="str">
        <f t="shared" si="19"/>
        <v>2015-04</v>
      </c>
    </row>
    <row r="245">
      <c r="A245" s="36">
        <v>40384.0</v>
      </c>
      <c r="B245" s="34">
        <v>0.721414330388</v>
      </c>
      <c r="C245" s="36">
        <v>41311.0</v>
      </c>
      <c r="D245" t="str">
        <f t="shared" si="6"/>
        <v>2010-07</v>
      </c>
      <c r="E245" s="44" t="str">
        <f t="shared" si="7"/>
        <v>2013-02</v>
      </c>
      <c r="F245" s="45">
        <v>1720.0</v>
      </c>
      <c r="G245" s="36">
        <v>40930.0</v>
      </c>
      <c r="H245" s="34">
        <v>0.895011258484</v>
      </c>
      <c r="I245" s="36">
        <v>42264.0</v>
      </c>
      <c r="J245" t="str">
        <f t="shared" si="8"/>
        <v>2012-01</v>
      </c>
      <c r="K245" s="44" t="str">
        <f t="shared" si="9"/>
        <v>2015-09</v>
      </c>
      <c r="L245" s="46">
        <v>41182.0</v>
      </c>
      <c r="M245" s="4">
        <v>0.722466371466</v>
      </c>
      <c r="N245" s="36">
        <v>42325.0</v>
      </c>
      <c r="O245" t="str">
        <f t="shared" si="10"/>
        <v>2012-09</v>
      </c>
      <c r="P245" t="str">
        <f t="shared" si="11"/>
        <v>2015-11</v>
      </c>
      <c r="Q245" s="36">
        <v>42128.0</v>
      </c>
      <c r="R245" s="4">
        <v>0.773307905989</v>
      </c>
      <c r="S245" s="36">
        <v>42150.0</v>
      </c>
      <c r="T245" t="str">
        <f t="shared" si="12"/>
        <v>2015-05</v>
      </c>
      <c r="U245" t="str">
        <f t="shared" si="13"/>
        <v>2015-05</v>
      </c>
      <c r="AB245" s="36">
        <v>40345.0</v>
      </c>
      <c r="AC245" s="4">
        <v>0.593094050673</v>
      </c>
      <c r="AD245" s="47">
        <v>42458.0</v>
      </c>
      <c r="AE245" t="str">
        <f t="shared" si="14"/>
        <v>2010-06</v>
      </c>
      <c r="AF245" t="str">
        <f t="shared" si="15"/>
        <v>2016-03</v>
      </c>
      <c r="AG245" s="36">
        <v>41288.0</v>
      </c>
      <c r="AH245" s="4">
        <v>0.646704576525</v>
      </c>
      <c r="AJ245" s="48" t="str">
        <f t="shared" si="16"/>
        <v>2013-01</v>
      </c>
      <c r="AL245" s="36">
        <v>41034.0</v>
      </c>
      <c r="AM245" s="4">
        <v>0.837367090315</v>
      </c>
      <c r="AN245" s="47">
        <v>42137.0</v>
      </c>
      <c r="AO245" s="49" t="str">
        <f t="shared" si="18"/>
        <v>2012-05</v>
      </c>
      <c r="AP245" t="str">
        <f t="shared" si="19"/>
        <v>2015-05</v>
      </c>
    </row>
    <row r="246">
      <c r="A246" s="36">
        <v>40385.0</v>
      </c>
      <c r="B246" s="34">
        <v>0.68382944929</v>
      </c>
      <c r="C246" s="36">
        <v>41320.0</v>
      </c>
      <c r="D246" t="str">
        <f t="shared" si="6"/>
        <v>2010-07</v>
      </c>
      <c r="E246" s="44" t="str">
        <f t="shared" si="7"/>
        <v>2013-02</v>
      </c>
      <c r="F246" s="45">
        <v>1713.0</v>
      </c>
      <c r="G246" s="36">
        <v>40934.0</v>
      </c>
      <c r="H246" s="34">
        <v>0.728527036874</v>
      </c>
      <c r="I246" s="36">
        <v>42276.0</v>
      </c>
      <c r="J246" t="str">
        <f t="shared" si="8"/>
        <v>2012-01</v>
      </c>
      <c r="K246" s="44" t="str">
        <f t="shared" si="9"/>
        <v>2015-09</v>
      </c>
      <c r="L246" s="46">
        <v>41183.0</v>
      </c>
      <c r="M246" s="4">
        <v>0.616825198167</v>
      </c>
      <c r="N246" s="36">
        <v>42383.0</v>
      </c>
      <c r="O246" t="str">
        <f t="shared" si="10"/>
        <v>2012-10</v>
      </c>
      <c r="P246" t="str">
        <f t="shared" si="11"/>
        <v>2016-01</v>
      </c>
      <c r="Q246" s="36">
        <v>42129.0</v>
      </c>
      <c r="R246" s="4">
        <v>0.656535052336</v>
      </c>
      <c r="S246" s="36">
        <v>42154.0</v>
      </c>
      <c r="T246" t="str">
        <f t="shared" si="12"/>
        <v>2015-05</v>
      </c>
      <c r="U246" t="str">
        <f t="shared" si="13"/>
        <v>2015-05</v>
      </c>
      <c r="AB246" s="36">
        <v>40351.0</v>
      </c>
      <c r="AC246" s="4">
        <v>0.760284413703</v>
      </c>
      <c r="AD246" s="47">
        <v>42493.0</v>
      </c>
      <c r="AE246" t="str">
        <f t="shared" si="14"/>
        <v>2010-06</v>
      </c>
      <c r="AF246" t="str">
        <f t="shared" si="15"/>
        <v>2016-05</v>
      </c>
      <c r="AG246" s="36">
        <v>41289.0</v>
      </c>
      <c r="AH246" s="4">
        <v>0.778642415563</v>
      </c>
      <c r="AJ246" s="48" t="str">
        <f t="shared" si="16"/>
        <v>2013-01</v>
      </c>
      <c r="AL246" s="36">
        <v>41040.0</v>
      </c>
      <c r="AM246" s="4">
        <v>0.701473627576</v>
      </c>
      <c r="AN246" s="47">
        <v>42154.0</v>
      </c>
      <c r="AO246" s="49" t="str">
        <f t="shared" si="18"/>
        <v>2012-05</v>
      </c>
      <c r="AP246" t="str">
        <f t="shared" si="19"/>
        <v>2015-05</v>
      </c>
    </row>
    <row r="247">
      <c r="A247" s="36">
        <v>40390.0</v>
      </c>
      <c r="B247" s="34">
        <v>0.610536748886</v>
      </c>
      <c r="C247" s="36">
        <v>41330.0</v>
      </c>
      <c r="D247" t="str">
        <f t="shared" si="6"/>
        <v>2010-07</v>
      </c>
      <c r="E247" s="44" t="str">
        <f t="shared" si="7"/>
        <v>2013-02</v>
      </c>
      <c r="F247" s="45">
        <v>1713.0</v>
      </c>
      <c r="G247" s="36">
        <v>40937.0</v>
      </c>
      <c r="H247" s="34">
        <v>0.707126918182</v>
      </c>
      <c r="I247" s="36">
        <v>42328.0</v>
      </c>
      <c r="J247" t="str">
        <f t="shared" si="8"/>
        <v>2012-01</v>
      </c>
      <c r="K247" s="44" t="str">
        <f t="shared" si="9"/>
        <v>2015-11</v>
      </c>
      <c r="L247" s="46">
        <v>41184.0</v>
      </c>
      <c r="M247" s="4">
        <v>0.717842437558</v>
      </c>
      <c r="N247" s="36">
        <v>42282.0</v>
      </c>
      <c r="O247" t="str">
        <f t="shared" si="10"/>
        <v>2012-10</v>
      </c>
      <c r="P247" t="str">
        <f t="shared" si="11"/>
        <v>2015-10</v>
      </c>
      <c r="Q247" s="36">
        <v>42130.0</v>
      </c>
      <c r="R247" s="4">
        <v>0.603171097752</v>
      </c>
      <c r="S247" s="36">
        <v>42167.0</v>
      </c>
      <c r="T247" t="str">
        <f t="shared" si="12"/>
        <v>2015-05</v>
      </c>
      <c r="U247" t="str">
        <f t="shared" si="13"/>
        <v>2015-06</v>
      </c>
      <c r="AB247" s="36">
        <v>40352.0</v>
      </c>
      <c r="AC247" s="4">
        <v>0.64504106926</v>
      </c>
      <c r="AD247" s="47">
        <v>42534.0</v>
      </c>
      <c r="AE247" t="str">
        <f t="shared" si="14"/>
        <v>2010-06</v>
      </c>
      <c r="AF247" t="str">
        <f t="shared" si="15"/>
        <v>2016-06</v>
      </c>
      <c r="AG247" s="36">
        <v>41295.0</v>
      </c>
      <c r="AH247" s="4">
        <v>0.717235699365</v>
      </c>
      <c r="AJ247" s="48" t="str">
        <f t="shared" si="16"/>
        <v>2013-01</v>
      </c>
      <c r="AL247" s="36">
        <v>41047.0</v>
      </c>
      <c r="AM247" s="4">
        <v>0.664198761623</v>
      </c>
      <c r="AN247" s="47">
        <v>42166.0</v>
      </c>
      <c r="AO247" s="49" t="str">
        <f t="shared" si="18"/>
        <v>2012-05</v>
      </c>
      <c r="AP247" t="str">
        <f t="shared" si="19"/>
        <v>2015-06</v>
      </c>
    </row>
    <row r="248">
      <c r="A248" s="36">
        <v>40391.0</v>
      </c>
      <c r="B248" s="34">
        <v>0.727431594829</v>
      </c>
      <c r="C248" s="36">
        <v>41340.0</v>
      </c>
      <c r="D248" t="str">
        <f t="shared" si="6"/>
        <v>2010-08</v>
      </c>
      <c r="E248" s="44" t="str">
        <f t="shared" si="7"/>
        <v>2013-03</v>
      </c>
      <c r="F248" s="45">
        <v>1713.0</v>
      </c>
      <c r="G248" s="36">
        <v>40941.0</v>
      </c>
      <c r="H248" s="34">
        <v>0.628820219764</v>
      </c>
      <c r="I248" s="36">
        <v>42390.0</v>
      </c>
      <c r="J248" t="str">
        <f t="shared" si="8"/>
        <v>2012-02</v>
      </c>
      <c r="K248" s="44" t="str">
        <f t="shared" si="9"/>
        <v>2016-01</v>
      </c>
      <c r="L248" s="46">
        <v>41185.0</v>
      </c>
      <c r="M248" s="4">
        <v>0.72535397397</v>
      </c>
      <c r="N248" s="36">
        <v>42301.0</v>
      </c>
      <c r="O248" t="str">
        <f t="shared" si="10"/>
        <v>2012-10</v>
      </c>
      <c r="P248" t="str">
        <f t="shared" si="11"/>
        <v>2015-10</v>
      </c>
      <c r="Q248" s="36">
        <v>42131.0</v>
      </c>
      <c r="R248" s="4">
        <v>0.948391129677</v>
      </c>
      <c r="S248" s="36">
        <v>42156.0</v>
      </c>
      <c r="T248" t="str">
        <f t="shared" si="12"/>
        <v>2015-05</v>
      </c>
      <c r="U248" t="str">
        <f t="shared" si="13"/>
        <v>2015-06</v>
      </c>
      <c r="AB248" s="36">
        <v>40358.0</v>
      </c>
      <c r="AC248" s="4">
        <v>0.760827565335</v>
      </c>
      <c r="AD248" s="47">
        <v>42585.0</v>
      </c>
      <c r="AE248" t="str">
        <f t="shared" si="14"/>
        <v>2010-06</v>
      </c>
      <c r="AF248" t="str">
        <f t="shared" si="15"/>
        <v>2016-08</v>
      </c>
      <c r="AG248" s="36">
        <v>41296.0</v>
      </c>
      <c r="AH248" s="4">
        <v>0.7399923586</v>
      </c>
      <c r="AJ248" s="48" t="str">
        <f t="shared" si="16"/>
        <v>2013-01</v>
      </c>
      <c r="AL248" s="36">
        <v>41048.0</v>
      </c>
      <c r="AM248" s="4">
        <v>0.68080539093</v>
      </c>
      <c r="AN248" s="47">
        <v>42198.0</v>
      </c>
      <c r="AO248" s="49" t="str">
        <f t="shared" si="18"/>
        <v>2012-05</v>
      </c>
      <c r="AP248" t="str">
        <f t="shared" si="19"/>
        <v>2015-07</v>
      </c>
    </row>
    <row r="249">
      <c r="A249" s="36">
        <v>40392.0</v>
      </c>
      <c r="B249" s="34">
        <v>0.461589460909</v>
      </c>
      <c r="C249" s="36">
        <v>41373.0</v>
      </c>
      <c r="D249" t="str">
        <f t="shared" si="6"/>
        <v>2010-08</v>
      </c>
      <c r="E249" s="44" t="str">
        <f t="shared" si="7"/>
        <v>2013-04</v>
      </c>
      <c r="F249" s="45">
        <v>1713.0</v>
      </c>
      <c r="G249" s="36">
        <v>40942.0</v>
      </c>
      <c r="H249" s="34">
        <v>0.497247556184</v>
      </c>
      <c r="I249" s="36">
        <v>42445.0</v>
      </c>
      <c r="J249" t="str">
        <f t="shared" si="8"/>
        <v>2012-02</v>
      </c>
      <c r="K249" s="44" t="str">
        <f t="shared" si="9"/>
        <v>2016-03</v>
      </c>
      <c r="L249" s="46">
        <v>41190.0</v>
      </c>
      <c r="M249" s="4">
        <v>0.677649299907</v>
      </c>
      <c r="N249" s="36">
        <v>42325.0</v>
      </c>
      <c r="O249" t="str">
        <f t="shared" si="10"/>
        <v>2012-10</v>
      </c>
      <c r="P249" t="str">
        <f t="shared" si="11"/>
        <v>2015-11</v>
      </c>
      <c r="Q249" s="36">
        <v>42138.0</v>
      </c>
      <c r="R249" s="4">
        <v>0.57359543219</v>
      </c>
      <c r="S249" s="36">
        <v>42159.0</v>
      </c>
      <c r="T249" t="str">
        <f t="shared" si="12"/>
        <v>2015-05</v>
      </c>
      <c r="U249" t="str">
        <f t="shared" si="13"/>
        <v>2015-06</v>
      </c>
      <c r="AB249" s="36">
        <v>40359.0</v>
      </c>
      <c r="AC249" s="4">
        <v>0.510379846984</v>
      </c>
      <c r="AD249" s="47">
        <v>42623.0</v>
      </c>
      <c r="AE249" t="str">
        <f t="shared" si="14"/>
        <v>2010-06</v>
      </c>
      <c r="AF249" t="str">
        <f t="shared" si="15"/>
        <v>2016-09</v>
      </c>
      <c r="AG249" s="36">
        <v>41302.0</v>
      </c>
      <c r="AH249" s="4">
        <v>0.670315543083</v>
      </c>
      <c r="AJ249" s="48" t="str">
        <f t="shared" si="16"/>
        <v>2013-01</v>
      </c>
      <c r="AL249" s="36">
        <v>41054.0</v>
      </c>
      <c r="AM249" s="4">
        <v>0.737718988829</v>
      </c>
      <c r="AN249" s="47">
        <v>42216.0</v>
      </c>
      <c r="AO249" s="49" t="str">
        <f t="shared" si="18"/>
        <v>2012-05</v>
      </c>
      <c r="AP249" t="str">
        <f t="shared" si="19"/>
        <v>2015-07</v>
      </c>
    </row>
    <row r="250">
      <c r="A250" s="36">
        <v>40397.0</v>
      </c>
      <c r="B250" s="34">
        <v>0.756256546129</v>
      </c>
      <c r="C250" s="36">
        <v>41429.0</v>
      </c>
      <c r="D250" t="str">
        <f t="shared" si="6"/>
        <v>2010-08</v>
      </c>
      <c r="E250" s="44" t="str">
        <f t="shared" si="7"/>
        <v>2013-06</v>
      </c>
      <c r="F250" s="45">
        <v>1713.0</v>
      </c>
      <c r="G250" s="36">
        <v>40943.0</v>
      </c>
      <c r="H250" s="34">
        <v>0.706798783463</v>
      </c>
      <c r="I250" s="36">
        <v>42517.0</v>
      </c>
      <c r="J250" t="str">
        <f t="shared" si="8"/>
        <v>2012-02</v>
      </c>
      <c r="K250" s="44" t="str">
        <f t="shared" si="9"/>
        <v>2016-05</v>
      </c>
      <c r="L250" s="46">
        <v>41191.0</v>
      </c>
      <c r="M250" s="4">
        <v>0.681681407715</v>
      </c>
      <c r="N250" s="36">
        <v>42383.0</v>
      </c>
      <c r="O250" t="str">
        <f t="shared" si="10"/>
        <v>2012-10</v>
      </c>
      <c r="P250" t="str">
        <f t="shared" si="11"/>
        <v>2016-01</v>
      </c>
      <c r="Q250" s="36">
        <v>42142.0</v>
      </c>
      <c r="R250" s="4">
        <v>0.672927680202</v>
      </c>
      <c r="S250" s="36">
        <v>42167.0</v>
      </c>
      <c r="T250" t="str">
        <f t="shared" si="12"/>
        <v>2015-05</v>
      </c>
      <c r="U250" t="str">
        <f t="shared" si="13"/>
        <v>2015-06</v>
      </c>
      <c r="AB250" s="36">
        <v>40365.0</v>
      </c>
      <c r="AC250" s="4">
        <v>0.704657651086</v>
      </c>
      <c r="AD250" s="47">
        <v>42628.0</v>
      </c>
      <c r="AE250" t="str">
        <f t="shared" si="14"/>
        <v>2010-07</v>
      </c>
      <c r="AF250" t="str">
        <f t="shared" si="15"/>
        <v>2016-09</v>
      </c>
      <c r="AG250" s="36">
        <v>41303.0</v>
      </c>
      <c r="AH250" s="4">
        <v>0.624383580209</v>
      </c>
      <c r="AJ250" s="48" t="str">
        <f t="shared" si="16"/>
        <v>2013-01</v>
      </c>
      <c r="AL250" s="36">
        <v>41055.0</v>
      </c>
      <c r="AM250" s="4">
        <v>0.339064617829</v>
      </c>
      <c r="AN250" s="47">
        <v>42255.0</v>
      </c>
      <c r="AO250" s="49" t="str">
        <f t="shared" si="18"/>
        <v>2012-05</v>
      </c>
      <c r="AP250" t="str">
        <f t="shared" si="19"/>
        <v>2015-09</v>
      </c>
    </row>
    <row r="251">
      <c r="A251" s="36">
        <v>40398.0</v>
      </c>
      <c r="B251" s="34">
        <v>0.649339701525</v>
      </c>
      <c r="C251" s="36">
        <v>41438.0</v>
      </c>
      <c r="D251" t="str">
        <f t="shared" si="6"/>
        <v>2010-08</v>
      </c>
      <c r="E251" s="44" t="str">
        <f t="shared" si="7"/>
        <v>2013-06</v>
      </c>
      <c r="F251" s="45">
        <v>1713.0</v>
      </c>
      <c r="G251" s="36">
        <v>40948.0</v>
      </c>
      <c r="H251" s="34">
        <v>0.767464468234</v>
      </c>
      <c r="I251" s="36">
        <v>42536.0</v>
      </c>
      <c r="J251" t="str">
        <f t="shared" si="8"/>
        <v>2012-02</v>
      </c>
      <c r="K251" s="44" t="str">
        <f t="shared" si="9"/>
        <v>2016-06</v>
      </c>
      <c r="L251" s="46">
        <v>41192.0</v>
      </c>
      <c r="M251" s="4">
        <v>0.820911098397</v>
      </c>
      <c r="N251" s="36">
        <v>42387.0</v>
      </c>
      <c r="O251" t="str">
        <f t="shared" si="10"/>
        <v>2012-10</v>
      </c>
      <c r="P251" t="str">
        <f t="shared" si="11"/>
        <v>2016-01</v>
      </c>
      <c r="Q251" s="36">
        <v>42143.0</v>
      </c>
      <c r="R251" s="4">
        <v>0.870457039773</v>
      </c>
      <c r="S251" s="36">
        <v>42169.0</v>
      </c>
      <c r="T251" t="str">
        <f t="shared" si="12"/>
        <v>2015-05</v>
      </c>
      <c r="U251" t="str">
        <f t="shared" si="13"/>
        <v>2015-06</v>
      </c>
      <c r="AB251" s="36">
        <v>40366.0</v>
      </c>
      <c r="AC251" s="4">
        <v>0.840139079272</v>
      </c>
      <c r="AD251" s="47">
        <v>42632.0</v>
      </c>
      <c r="AE251" t="str">
        <f t="shared" si="14"/>
        <v>2010-07</v>
      </c>
      <c r="AF251" t="str">
        <f t="shared" si="15"/>
        <v>2016-09</v>
      </c>
      <c r="AG251" s="36">
        <v>41309.0</v>
      </c>
      <c r="AH251" s="4">
        <v>0.699582133724</v>
      </c>
      <c r="AJ251" s="48" t="str">
        <f t="shared" si="16"/>
        <v>2013-02</v>
      </c>
      <c r="AL251" s="36">
        <v>41061.0</v>
      </c>
      <c r="AM251" s="4">
        <v>0.747667898384</v>
      </c>
      <c r="AN251" s="47">
        <v>42272.0</v>
      </c>
      <c r="AO251" s="49" t="str">
        <f t="shared" si="18"/>
        <v>2012-06</v>
      </c>
      <c r="AP251" t="str">
        <f t="shared" si="19"/>
        <v>2015-09</v>
      </c>
    </row>
    <row r="252">
      <c r="A252" s="36">
        <v>40405.0</v>
      </c>
      <c r="B252" s="34">
        <v>0.601163570802</v>
      </c>
      <c r="C252" s="36">
        <v>41565.0</v>
      </c>
      <c r="D252" t="str">
        <f t="shared" si="6"/>
        <v>2010-08</v>
      </c>
      <c r="E252" s="44" t="str">
        <f t="shared" si="7"/>
        <v>2013-10</v>
      </c>
      <c r="F252" s="45">
        <v>1713.0</v>
      </c>
      <c r="G252" s="36">
        <v>40950.0</v>
      </c>
      <c r="H252" s="34">
        <v>0.758303604643</v>
      </c>
      <c r="I252" s="36">
        <v>42653.0</v>
      </c>
      <c r="J252" t="str">
        <f t="shared" si="8"/>
        <v>2012-02</v>
      </c>
      <c r="K252" s="44" t="str">
        <f t="shared" si="9"/>
        <v>2016-10</v>
      </c>
      <c r="L252" s="46">
        <v>41197.0</v>
      </c>
      <c r="M252" s="4">
        <v>0.777644998206</v>
      </c>
      <c r="N252" s="36">
        <v>42325.0</v>
      </c>
      <c r="O252" t="str">
        <f t="shared" si="10"/>
        <v>2012-10</v>
      </c>
      <c r="P252" t="str">
        <f t="shared" si="11"/>
        <v>2015-11</v>
      </c>
      <c r="Q252" s="36">
        <v>42145.0</v>
      </c>
      <c r="R252" s="4">
        <v>0.89529787166</v>
      </c>
      <c r="S252" s="36">
        <v>42171.0</v>
      </c>
      <c r="T252" t="str">
        <f t="shared" si="12"/>
        <v>2015-05</v>
      </c>
      <c r="U252" t="str">
        <f t="shared" si="13"/>
        <v>2015-06</v>
      </c>
      <c r="AB252" s="36">
        <v>40372.0</v>
      </c>
      <c r="AC252" s="4">
        <v>0.684462308348</v>
      </c>
      <c r="AD252" s="47">
        <v>42619.0</v>
      </c>
      <c r="AE252" t="str">
        <f t="shared" si="14"/>
        <v>2010-07</v>
      </c>
      <c r="AF252" t="str">
        <f t="shared" si="15"/>
        <v>2016-09</v>
      </c>
      <c r="AG252" s="36">
        <v>41310.0</v>
      </c>
      <c r="AH252" s="4">
        <v>0.743859171961</v>
      </c>
      <c r="AJ252" s="48" t="str">
        <f t="shared" si="16"/>
        <v>2013-02</v>
      </c>
      <c r="AL252" s="36">
        <v>41062.0</v>
      </c>
      <c r="AM252" s="4">
        <v>0.678768092949</v>
      </c>
      <c r="AN252" s="47">
        <v>42304.0</v>
      </c>
      <c r="AO252" s="49" t="str">
        <f t="shared" si="18"/>
        <v>2012-06</v>
      </c>
      <c r="AP252" t="str">
        <f t="shared" si="19"/>
        <v>2015-10</v>
      </c>
    </row>
    <row r="253">
      <c r="A253" s="36">
        <v>40406.0</v>
      </c>
      <c r="B253" s="34">
        <v>0.70451461929</v>
      </c>
      <c r="C253" s="36">
        <v>41806.0</v>
      </c>
      <c r="D253" t="str">
        <f t="shared" si="6"/>
        <v>2010-08</v>
      </c>
      <c r="E253" s="44" t="str">
        <f t="shared" si="7"/>
        <v>2014-06</v>
      </c>
      <c r="F253" s="45">
        <v>1713.0</v>
      </c>
      <c r="G253" s="36">
        <v>40955.0</v>
      </c>
      <c r="H253" s="34">
        <v>0.7148897497</v>
      </c>
      <c r="I253" s="36">
        <v>42654.0</v>
      </c>
      <c r="J253" t="str">
        <f t="shared" si="8"/>
        <v>2012-02</v>
      </c>
      <c r="K253" s="44" t="str">
        <f t="shared" si="9"/>
        <v>2016-10</v>
      </c>
      <c r="L253" s="46">
        <v>41198.0</v>
      </c>
      <c r="M253" s="4">
        <v>0.736536532721</v>
      </c>
      <c r="N253" s="36">
        <v>42337.0</v>
      </c>
      <c r="O253" t="str">
        <f t="shared" si="10"/>
        <v>2012-10</v>
      </c>
      <c r="P253" t="str">
        <f t="shared" si="11"/>
        <v>2015-11</v>
      </c>
      <c r="Q253" s="36">
        <v>42150.0</v>
      </c>
      <c r="R253" s="4">
        <v>0.841055541694</v>
      </c>
      <c r="S253" s="36">
        <v>42171.0</v>
      </c>
      <c r="T253" t="str">
        <f t="shared" si="12"/>
        <v>2015-05</v>
      </c>
      <c r="U253" t="str">
        <f t="shared" si="13"/>
        <v>2015-06</v>
      </c>
      <c r="AB253" s="36">
        <v>40373.0</v>
      </c>
      <c r="AC253" s="4">
        <v>0.6951511144</v>
      </c>
      <c r="AD253" s="47">
        <v>42632.0</v>
      </c>
      <c r="AE253" t="str">
        <f t="shared" si="14"/>
        <v>2010-07</v>
      </c>
      <c r="AF253" t="str">
        <f t="shared" si="15"/>
        <v>2016-09</v>
      </c>
      <c r="AG253" s="36">
        <v>41316.0</v>
      </c>
      <c r="AH253" s="4">
        <v>0.740169925388</v>
      </c>
      <c r="AJ253" s="48" t="str">
        <f t="shared" si="16"/>
        <v>2013-02</v>
      </c>
      <c r="AL253" s="36">
        <v>41068.0</v>
      </c>
      <c r="AM253" s="4">
        <v>0.745750541746</v>
      </c>
      <c r="AN253" s="47">
        <v>42331.0</v>
      </c>
      <c r="AO253" s="49" t="str">
        <f t="shared" si="18"/>
        <v>2012-06</v>
      </c>
      <c r="AP253" t="str">
        <f t="shared" si="19"/>
        <v>2015-11</v>
      </c>
    </row>
    <row r="254">
      <c r="A254" s="36">
        <v>40412.0</v>
      </c>
      <c r="B254" s="34">
        <v>0.698165220519</v>
      </c>
      <c r="C254" s="36">
        <v>41851.0</v>
      </c>
      <c r="D254" t="str">
        <f t="shared" si="6"/>
        <v>2010-08</v>
      </c>
      <c r="E254" s="44" t="str">
        <f t="shared" si="7"/>
        <v>2014-07</v>
      </c>
      <c r="F254" s="45">
        <v>1712.0</v>
      </c>
      <c r="G254" s="36">
        <v>40956.0</v>
      </c>
      <c r="H254" s="34">
        <v>0.36218133522</v>
      </c>
      <c r="I254" s="36">
        <v>42264.0</v>
      </c>
      <c r="J254" t="str">
        <f t="shared" si="8"/>
        <v>2012-02</v>
      </c>
      <c r="K254" s="44" t="str">
        <f t="shared" si="9"/>
        <v>2015-09</v>
      </c>
      <c r="L254" s="46">
        <v>41199.0</v>
      </c>
      <c r="M254" s="4">
        <v>0.661903298468</v>
      </c>
      <c r="N254" s="36">
        <v>42357.0</v>
      </c>
      <c r="O254" t="str">
        <f t="shared" si="10"/>
        <v>2012-10</v>
      </c>
      <c r="P254" t="str">
        <f t="shared" si="11"/>
        <v>2015-12</v>
      </c>
      <c r="Q254" s="36">
        <v>42151.0</v>
      </c>
      <c r="R254" s="4">
        <v>0.699988087334</v>
      </c>
      <c r="S254" s="36">
        <v>42169.0</v>
      </c>
      <c r="T254" t="str">
        <f t="shared" si="12"/>
        <v>2015-05</v>
      </c>
      <c r="U254" t="str">
        <f t="shared" si="13"/>
        <v>2015-06</v>
      </c>
      <c r="AB254" s="36">
        <v>40379.0</v>
      </c>
      <c r="AC254" s="4">
        <v>0.736594322054</v>
      </c>
      <c r="AD254" s="47">
        <v>42654.0</v>
      </c>
      <c r="AE254" t="str">
        <f t="shared" si="14"/>
        <v>2010-07</v>
      </c>
      <c r="AF254" t="str">
        <f t="shared" si="15"/>
        <v>2016-10</v>
      </c>
      <c r="AG254" s="36">
        <v>41317.0</v>
      </c>
      <c r="AH254" s="4">
        <v>0.7399923586</v>
      </c>
      <c r="AJ254" s="48" t="str">
        <f t="shared" si="16"/>
        <v>2013-02</v>
      </c>
      <c r="AL254" s="36">
        <v>41069.0</v>
      </c>
      <c r="AM254" s="4">
        <v>0.806886581209</v>
      </c>
      <c r="AN254" s="47">
        <v>42364.0</v>
      </c>
      <c r="AO254" s="49" t="str">
        <f t="shared" si="18"/>
        <v>2012-06</v>
      </c>
      <c r="AP254" t="str">
        <f t="shared" si="19"/>
        <v>2015-12</v>
      </c>
    </row>
    <row r="255">
      <c r="A255" s="36">
        <v>40413.0</v>
      </c>
      <c r="B255" s="34">
        <v>0.65160004821</v>
      </c>
      <c r="C255" s="36">
        <v>41110.0</v>
      </c>
      <c r="D255" t="str">
        <f t="shared" si="6"/>
        <v>2010-08</v>
      </c>
      <c r="E255" s="44" t="str">
        <f t="shared" si="7"/>
        <v>2012-07</v>
      </c>
      <c r="F255" s="45">
        <v>1650.0</v>
      </c>
      <c r="G255" s="36">
        <v>40957.0</v>
      </c>
      <c r="H255" s="34">
        <v>0.862057519809</v>
      </c>
      <c r="I255" s="36">
        <v>42276.0</v>
      </c>
      <c r="J255" t="str">
        <f t="shared" si="8"/>
        <v>2012-02</v>
      </c>
      <c r="K255" s="44" t="str">
        <f t="shared" si="9"/>
        <v>2015-09</v>
      </c>
      <c r="L255" s="46">
        <v>41204.0</v>
      </c>
      <c r="M255" s="4">
        <v>0.729657927853</v>
      </c>
      <c r="N255" s="36">
        <v>42387.0</v>
      </c>
      <c r="O255" t="str">
        <f t="shared" si="10"/>
        <v>2012-10</v>
      </c>
      <c r="P255" t="str">
        <f t="shared" si="11"/>
        <v>2016-01</v>
      </c>
      <c r="Q255" s="36">
        <v>42152.0</v>
      </c>
      <c r="R255" s="4">
        <v>0.817013547985</v>
      </c>
      <c r="S255" s="36">
        <v>42180.0</v>
      </c>
      <c r="T255" t="str">
        <f t="shared" si="12"/>
        <v>2015-05</v>
      </c>
      <c r="U255" t="str">
        <f t="shared" si="13"/>
        <v>2015-06</v>
      </c>
      <c r="AB255" s="36">
        <v>40380.0</v>
      </c>
      <c r="AC255" s="4">
        <v>0.802145824575</v>
      </c>
      <c r="AD255" s="47">
        <v>42682.0</v>
      </c>
      <c r="AE255" t="str">
        <f t="shared" si="14"/>
        <v>2010-07</v>
      </c>
      <c r="AF255" t="str">
        <f t="shared" si="15"/>
        <v>2016-11</v>
      </c>
      <c r="AG255" s="36">
        <v>41323.0</v>
      </c>
      <c r="AH255" s="4">
        <v>0.710172874945</v>
      </c>
      <c r="AJ255" s="48" t="str">
        <f t="shared" si="16"/>
        <v>2013-02</v>
      </c>
      <c r="AL255" s="36">
        <v>41075.0</v>
      </c>
      <c r="AM255" s="4">
        <v>0.720152983713</v>
      </c>
      <c r="AN255" s="47">
        <v>42383.0</v>
      </c>
      <c r="AO255" s="49" t="str">
        <f t="shared" si="18"/>
        <v>2012-06</v>
      </c>
      <c r="AP255" t="str">
        <f t="shared" si="19"/>
        <v>2016-01</v>
      </c>
    </row>
    <row r="256">
      <c r="A256" s="36">
        <v>40419.0</v>
      </c>
      <c r="B256" s="34">
        <v>0.600011829052</v>
      </c>
      <c r="C256" s="36">
        <v>41149.0</v>
      </c>
      <c r="D256" t="str">
        <f t="shared" si="6"/>
        <v>2010-08</v>
      </c>
      <c r="E256" s="44" t="str">
        <f t="shared" si="7"/>
        <v>2012-08</v>
      </c>
      <c r="F256" s="45">
        <v>1538.0</v>
      </c>
      <c r="G256" s="36">
        <v>40958.0</v>
      </c>
      <c r="H256" s="34">
        <v>0.513003945442</v>
      </c>
      <c r="I256" s="36">
        <v>42326.0</v>
      </c>
      <c r="J256" t="str">
        <f t="shared" si="8"/>
        <v>2012-02</v>
      </c>
      <c r="K256" s="44" t="str">
        <f t="shared" si="9"/>
        <v>2015-11</v>
      </c>
      <c r="L256" s="46">
        <v>41205.0</v>
      </c>
      <c r="M256" s="4">
        <v>0.677203741382</v>
      </c>
      <c r="N256" s="36">
        <v>42405.0</v>
      </c>
      <c r="O256" t="str">
        <f t="shared" si="10"/>
        <v>2012-10</v>
      </c>
      <c r="P256" t="str">
        <f t="shared" si="11"/>
        <v>2016-02</v>
      </c>
      <c r="Q256" s="36">
        <v>42153.0</v>
      </c>
      <c r="R256" s="4">
        <v>0.881165327128</v>
      </c>
      <c r="S256" s="36">
        <v>42180.0</v>
      </c>
      <c r="T256" t="str">
        <f t="shared" si="12"/>
        <v>2015-05</v>
      </c>
      <c r="U256" t="str">
        <f t="shared" si="13"/>
        <v>2015-06</v>
      </c>
      <c r="AB256" s="36">
        <v>40386.0</v>
      </c>
      <c r="AC256" s="4">
        <v>0.674829838372</v>
      </c>
      <c r="AD256" s="47">
        <v>42702.0</v>
      </c>
      <c r="AE256" t="str">
        <f t="shared" si="14"/>
        <v>2010-07</v>
      </c>
      <c r="AF256" t="str">
        <f t="shared" si="15"/>
        <v>2016-11</v>
      </c>
      <c r="AG256" s="36">
        <v>41324.0</v>
      </c>
      <c r="AH256" s="4">
        <v>0.774088277394</v>
      </c>
      <c r="AJ256" s="48" t="str">
        <f t="shared" si="16"/>
        <v>2013-02</v>
      </c>
      <c r="AL256" s="36">
        <v>41076.0</v>
      </c>
      <c r="AM256" s="4">
        <v>0.795694317472</v>
      </c>
      <c r="AN256" s="47">
        <v>42428.0</v>
      </c>
      <c r="AO256" s="49" t="str">
        <f t="shared" si="18"/>
        <v>2012-06</v>
      </c>
      <c r="AP256" t="str">
        <f t="shared" si="19"/>
        <v>2016-02</v>
      </c>
    </row>
    <row r="257">
      <c r="A257" s="36">
        <v>40420.0</v>
      </c>
      <c r="B257" s="34">
        <v>0.725791263428</v>
      </c>
      <c r="C257" s="36">
        <v>41170.0</v>
      </c>
      <c r="D257" t="str">
        <f t="shared" si="6"/>
        <v>2010-08</v>
      </c>
      <c r="E257" s="44" t="str">
        <f t="shared" si="7"/>
        <v>2012-09</v>
      </c>
      <c r="F257" s="45">
        <v>1474.0</v>
      </c>
      <c r="G257" s="36">
        <v>40962.0</v>
      </c>
      <c r="H257" s="34">
        <v>0.72645665718</v>
      </c>
      <c r="I257" s="36">
        <v>42347.0</v>
      </c>
      <c r="J257" t="str">
        <f t="shared" si="8"/>
        <v>2012-02</v>
      </c>
      <c r="K257" s="44" t="str">
        <f t="shared" si="9"/>
        <v>2015-12</v>
      </c>
      <c r="L257" s="46">
        <v>41206.0</v>
      </c>
      <c r="M257" s="4">
        <v>0.692413893539</v>
      </c>
      <c r="N257" s="36">
        <v>42446.0</v>
      </c>
      <c r="O257" t="str">
        <f t="shared" si="10"/>
        <v>2012-10</v>
      </c>
      <c r="P257" t="str">
        <f t="shared" si="11"/>
        <v>2016-03</v>
      </c>
      <c r="Q257" s="36">
        <v>42157.0</v>
      </c>
      <c r="R257" s="4">
        <v>0.589609712473</v>
      </c>
      <c r="S257" s="36">
        <v>42180.0</v>
      </c>
      <c r="T257" t="str">
        <f t="shared" si="12"/>
        <v>2015-06</v>
      </c>
      <c r="U257" t="str">
        <f t="shared" si="13"/>
        <v>2015-06</v>
      </c>
      <c r="AB257" s="36">
        <v>40387.0</v>
      </c>
      <c r="AC257" s="4">
        <v>0.906266185496</v>
      </c>
      <c r="AD257" s="47">
        <v>42727.0</v>
      </c>
      <c r="AE257" t="str">
        <f t="shared" si="14"/>
        <v>2010-07</v>
      </c>
      <c r="AF257" t="str">
        <f t="shared" si="15"/>
        <v>2016-12</v>
      </c>
      <c r="AG257" s="36">
        <v>41330.0</v>
      </c>
      <c r="AH257" s="4">
        <v>0.686960254152</v>
      </c>
      <c r="AJ257" s="48" t="str">
        <f t="shared" si="16"/>
        <v>2013-02</v>
      </c>
      <c r="AL257" s="36">
        <v>41082.0</v>
      </c>
      <c r="AM257" s="4">
        <v>0.749984077565</v>
      </c>
      <c r="AN257" s="47">
        <v>42454.0</v>
      </c>
      <c r="AO257" s="49" t="str">
        <f t="shared" si="18"/>
        <v>2012-06</v>
      </c>
      <c r="AP257" t="str">
        <f t="shared" si="19"/>
        <v>2016-03</v>
      </c>
    </row>
    <row r="258">
      <c r="A258" s="36">
        <v>40425.0</v>
      </c>
      <c r="B258" s="34">
        <v>0.64970464408</v>
      </c>
      <c r="C258" s="36">
        <v>41206.0</v>
      </c>
      <c r="D258" t="str">
        <f t="shared" si="6"/>
        <v>2010-09</v>
      </c>
      <c r="E258" s="44" t="str">
        <f t="shared" si="7"/>
        <v>2012-10</v>
      </c>
      <c r="F258" s="45">
        <v>1379.0</v>
      </c>
      <c r="G258" s="36">
        <v>40963.0</v>
      </c>
      <c r="H258" s="34">
        <v>0.567109083142</v>
      </c>
      <c r="I258" s="36">
        <v>42384.0</v>
      </c>
      <c r="J258" t="str">
        <f t="shared" si="8"/>
        <v>2012-02</v>
      </c>
      <c r="K258" s="44" t="str">
        <f t="shared" si="9"/>
        <v>2016-01</v>
      </c>
      <c r="L258" s="46">
        <v>41207.0</v>
      </c>
      <c r="M258" s="4">
        <v>0.643336284429</v>
      </c>
      <c r="N258" s="36">
        <v>42387.0</v>
      </c>
      <c r="O258" t="str">
        <f t="shared" si="10"/>
        <v>2012-10</v>
      </c>
      <c r="P258" t="str">
        <f t="shared" si="11"/>
        <v>2016-01</v>
      </c>
      <c r="Q258" s="36">
        <v>42158.0</v>
      </c>
      <c r="R258" s="4">
        <v>0.646407046425</v>
      </c>
      <c r="S258" s="36">
        <v>42187.0</v>
      </c>
      <c r="T258" t="str">
        <f t="shared" si="12"/>
        <v>2015-06</v>
      </c>
      <c r="U258" t="str">
        <f t="shared" si="13"/>
        <v>2015-07</v>
      </c>
      <c r="AB258" s="36">
        <v>40393.0</v>
      </c>
      <c r="AC258" s="4">
        <v>0.712827059934</v>
      </c>
      <c r="AD258" s="47">
        <v>42759.0</v>
      </c>
      <c r="AE258" t="str">
        <f t="shared" si="14"/>
        <v>2010-08</v>
      </c>
      <c r="AF258" t="str">
        <f t="shared" si="15"/>
        <v>2017-01</v>
      </c>
      <c r="AG258" s="36">
        <v>41331.0</v>
      </c>
      <c r="AH258" s="4">
        <v>0.555887868008</v>
      </c>
      <c r="AJ258" s="48" t="str">
        <f t="shared" si="16"/>
        <v>2013-02</v>
      </c>
      <c r="AL258" s="36">
        <v>41083.0</v>
      </c>
      <c r="AM258" s="4">
        <v>0.738072315972</v>
      </c>
      <c r="AN258" s="47">
        <v>42489.0</v>
      </c>
      <c r="AO258" s="49" t="str">
        <f t="shared" si="18"/>
        <v>2012-06</v>
      </c>
      <c r="AP258" t="str">
        <f t="shared" si="19"/>
        <v>2016-04</v>
      </c>
    </row>
    <row r="259">
      <c r="A259" s="36">
        <v>40426.0</v>
      </c>
      <c r="B259" s="34">
        <v>0.732967076631</v>
      </c>
      <c r="C259" s="36">
        <v>41264.0</v>
      </c>
      <c r="D259" t="str">
        <f t="shared" si="6"/>
        <v>2010-09</v>
      </c>
      <c r="E259" s="44" t="str">
        <f t="shared" si="7"/>
        <v>2012-12</v>
      </c>
      <c r="F259" s="45">
        <v>1318.0</v>
      </c>
      <c r="G259" s="36">
        <v>40964.0</v>
      </c>
      <c r="H259" s="34">
        <v>0.188020485036</v>
      </c>
      <c r="I259" s="36">
        <v>42397.0</v>
      </c>
      <c r="J259" t="str">
        <f t="shared" si="8"/>
        <v>2012-02</v>
      </c>
      <c r="K259" s="44" t="str">
        <f t="shared" si="9"/>
        <v>2016-01</v>
      </c>
      <c r="L259" s="46">
        <v>41211.0</v>
      </c>
      <c r="M259" s="4">
        <v>0.739238426252</v>
      </c>
      <c r="N259" s="36">
        <v>42405.0</v>
      </c>
      <c r="O259" t="str">
        <f t="shared" si="10"/>
        <v>2012-10</v>
      </c>
      <c r="P259" t="str">
        <f t="shared" si="11"/>
        <v>2016-02</v>
      </c>
      <c r="Q259" s="36">
        <v>42159.0</v>
      </c>
      <c r="R259" s="4">
        <v>0.690436348301</v>
      </c>
      <c r="S259" s="36">
        <v>42190.0</v>
      </c>
      <c r="T259" t="str">
        <f t="shared" si="12"/>
        <v>2015-06</v>
      </c>
      <c r="U259" t="str">
        <f t="shared" si="13"/>
        <v>2015-07</v>
      </c>
      <c r="AB259" s="36">
        <v>40394.0</v>
      </c>
      <c r="AC259" s="4">
        <v>0.835535185244</v>
      </c>
      <c r="AD259" s="47">
        <v>42795.0</v>
      </c>
      <c r="AE259" t="str">
        <f t="shared" si="14"/>
        <v>2010-08</v>
      </c>
      <c r="AF259" t="str">
        <f t="shared" si="15"/>
        <v>2017-03</v>
      </c>
      <c r="AG259" s="36">
        <v>41337.0</v>
      </c>
      <c r="AH259" s="4">
        <v>0.735568704464</v>
      </c>
      <c r="AJ259" s="48" t="str">
        <f t="shared" si="16"/>
        <v>2013-03</v>
      </c>
      <c r="AL259" s="36">
        <v>41089.0</v>
      </c>
      <c r="AM259" s="4">
        <v>0.779286877595</v>
      </c>
      <c r="AN259" s="47">
        <v>42499.0</v>
      </c>
      <c r="AO259" s="49" t="str">
        <f t="shared" si="18"/>
        <v>2012-06</v>
      </c>
      <c r="AP259" t="str">
        <f t="shared" si="19"/>
        <v>2016-05</v>
      </c>
    </row>
    <row r="260">
      <c r="A260" s="36">
        <v>40427.0</v>
      </c>
      <c r="B260" s="34">
        <v>0.773798879286</v>
      </c>
      <c r="C260" s="36">
        <v>41273.0</v>
      </c>
      <c r="D260" t="str">
        <f t="shared" si="6"/>
        <v>2010-09</v>
      </c>
      <c r="E260" s="44" t="str">
        <f t="shared" si="7"/>
        <v>2012-12</v>
      </c>
      <c r="F260" s="45">
        <v>1286.0</v>
      </c>
      <c r="G260" s="36">
        <v>40965.0</v>
      </c>
      <c r="H260" s="34">
        <v>0.743477943957</v>
      </c>
      <c r="I260" s="36">
        <v>42405.0</v>
      </c>
      <c r="J260" t="str">
        <f t="shared" si="8"/>
        <v>2012-02</v>
      </c>
      <c r="K260" s="44" t="str">
        <f t="shared" si="9"/>
        <v>2016-02</v>
      </c>
      <c r="L260" s="46">
        <v>41212.0</v>
      </c>
      <c r="M260" s="4">
        <v>0.782935624724</v>
      </c>
      <c r="N260" s="36">
        <v>42421.0</v>
      </c>
      <c r="O260" t="str">
        <f t="shared" si="10"/>
        <v>2012-10</v>
      </c>
      <c r="P260" t="str">
        <f t="shared" si="11"/>
        <v>2016-02</v>
      </c>
      <c r="Q260" s="36">
        <v>42160.0</v>
      </c>
      <c r="R260" s="4">
        <v>0.553548578418</v>
      </c>
      <c r="S260" s="36">
        <v>42190.0</v>
      </c>
      <c r="T260" t="str">
        <f t="shared" si="12"/>
        <v>2015-06</v>
      </c>
      <c r="U260" t="str">
        <f t="shared" si="13"/>
        <v>2015-07</v>
      </c>
      <c r="AB260" s="36">
        <v>40400.0</v>
      </c>
      <c r="AC260" s="4">
        <v>0.746559005019</v>
      </c>
      <c r="AD260" s="47">
        <v>42827.0</v>
      </c>
      <c r="AE260" t="str">
        <f t="shared" si="14"/>
        <v>2010-08</v>
      </c>
      <c r="AF260" t="str">
        <f t="shared" si="15"/>
        <v>2017-04</v>
      </c>
      <c r="AG260" s="36">
        <v>41338.0</v>
      </c>
      <c r="AH260" s="4">
        <v>0.804262714887</v>
      </c>
      <c r="AJ260" s="48" t="str">
        <f t="shared" si="16"/>
        <v>2013-03</v>
      </c>
      <c r="AL260" s="36">
        <v>41090.0</v>
      </c>
      <c r="AM260" s="4">
        <v>0.753041188551</v>
      </c>
      <c r="AN260" s="47">
        <v>42527.0</v>
      </c>
      <c r="AO260" s="49" t="str">
        <f t="shared" si="18"/>
        <v>2012-06</v>
      </c>
      <c r="AP260" t="str">
        <f t="shared" si="19"/>
        <v>2016-06</v>
      </c>
    </row>
    <row r="261">
      <c r="A261" s="36">
        <v>40433.0</v>
      </c>
      <c r="B261" s="34">
        <v>0.655219335215</v>
      </c>
      <c r="C261" s="36">
        <v>41285.0</v>
      </c>
      <c r="D261" t="str">
        <f t="shared" si="6"/>
        <v>2010-09</v>
      </c>
      <c r="E261" s="44" t="str">
        <f t="shared" si="7"/>
        <v>2013-01</v>
      </c>
      <c r="F261" s="45">
        <v>1190.0</v>
      </c>
      <c r="G261" s="36">
        <v>40969.0</v>
      </c>
      <c r="H261" s="34">
        <v>0.611120498299</v>
      </c>
      <c r="I261" s="36">
        <v>42445.0</v>
      </c>
      <c r="J261" t="str">
        <f t="shared" si="8"/>
        <v>2012-03</v>
      </c>
      <c r="K261" s="44" t="str">
        <f t="shared" si="9"/>
        <v>2016-03</v>
      </c>
      <c r="L261" s="46">
        <v>41213.0</v>
      </c>
      <c r="M261" s="4">
        <v>0.698605021339</v>
      </c>
      <c r="N261" s="36">
        <v>42429.0</v>
      </c>
      <c r="O261" t="str">
        <f t="shared" si="10"/>
        <v>2012-10</v>
      </c>
      <c r="P261" t="str">
        <f t="shared" si="11"/>
        <v>2016-02</v>
      </c>
      <c r="Q261" s="36">
        <v>42166.0</v>
      </c>
      <c r="R261" s="4">
        <v>0.721804145529</v>
      </c>
      <c r="S261" s="36">
        <v>42192.0</v>
      </c>
      <c r="T261" t="str">
        <f t="shared" si="12"/>
        <v>2015-06</v>
      </c>
      <c r="U261" t="str">
        <f t="shared" si="13"/>
        <v>2015-07</v>
      </c>
      <c r="AB261" s="36">
        <v>40401.0</v>
      </c>
      <c r="AC261" s="4">
        <v>0.573006989343</v>
      </c>
      <c r="AD261" s="47">
        <v>42847.0</v>
      </c>
      <c r="AE261" t="str">
        <f t="shared" si="14"/>
        <v>2010-08</v>
      </c>
      <c r="AF261" t="str">
        <f t="shared" si="15"/>
        <v>2017-04</v>
      </c>
      <c r="AG261" s="36">
        <v>41344.0</v>
      </c>
      <c r="AH261" s="4">
        <v>0.713941557536</v>
      </c>
      <c r="AJ261" s="48" t="str">
        <f t="shared" si="16"/>
        <v>2013-03</v>
      </c>
      <c r="AL261" s="36">
        <v>41096.0</v>
      </c>
      <c r="AM261" s="4">
        <v>0.796036650384</v>
      </c>
      <c r="AN261" s="47">
        <v>42551.0</v>
      </c>
      <c r="AO261" s="49" t="str">
        <f t="shared" si="18"/>
        <v>2012-07</v>
      </c>
      <c r="AP261" t="str">
        <f t="shared" si="19"/>
        <v>2016-06</v>
      </c>
    </row>
    <row r="262">
      <c r="A262" s="36">
        <v>40434.0</v>
      </c>
      <c r="B262" s="34">
        <v>0.686869038418</v>
      </c>
      <c r="C262" s="36">
        <v>41292.0</v>
      </c>
      <c r="D262" t="str">
        <f t="shared" si="6"/>
        <v>2010-09</v>
      </c>
      <c r="E262" s="44" t="str">
        <f t="shared" si="7"/>
        <v>2013-01</v>
      </c>
      <c r="F262" s="45">
        <v>1190.0</v>
      </c>
      <c r="G262" s="36">
        <v>40970.0</v>
      </c>
      <c r="H262" s="34">
        <v>0.817477577076</v>
      </c>
      <c r="I262" s="36">
        <v>42447.0</v>
      </c>
      <c r="J262" t="str">
        <f t="shared" si="8"/>
        <v>2012-03</v>
      </c>
      <c r="K262" s="44" t="str">
        <f t="shared" si="9"/>
        <v>2016-03</v>
      </c>
      <c r="L262" s="46">
        <v>41217.0</v>
      </c>
      <c r="M262" s="4">
        <v>0.661525255884</v>
      </c>
      <c r="N262" s="36">
        <v>42430.0</v>
      </c>
      <c r="O262" t="str">
        <f t="shared" si="10"/>
        <v>2012-11</v>
      </c>
      <c r="P262" t="str">
        <f t="shared" si="11"/>
        <v>2016-03</v>
      </c>
      <c r="Q262" s="36">
        <v>42167.0</v>
      </c>
      <c r="R262" s="4">
        <v>0.782384301965</v>
      </c>
      <c r="S262" s="36">
        <v>42192.0</v>
      </c>
      <c r="T262" t="str">
        <f t="shared" si="12"/>
        <v>2015-06</v>
      </c>
      <c r="U262" t="str">
        <f t="shared" si="13"/>
        <v>2015-07</v>
      </c>
      <c r="AB262" s="36">
        <v>40407.0</v>
      </c>
      <c r="AC262" s="4">
        <v>0.664348154638</v>
      </c>
      <c r="AD262" s="47">
        <v>42881.0</v>
      </c>
      <c r="AE262" t="str">
        <f t="shared" si="14"/>
        <v>2010-08</v>
      </c>
      <c r="AF262" t="str">
        <f t="shared" si="15"/>
        <v>2017-05</v>
      </c>
      <c r="AG262" s="36">
        <v>41345.0</v>
      </c>
      <c r="AH262" s="4">
        <v>0.719842714227</v>
      </c>
      <c r="AJ262" s="48" t="str">
        <f t="shared" si="16"/>
        <v>2013-03</v>
      </c>
      <c r="AL262" s="36">
        <v>41097.0</v>
      </c>
      <c r="AM262" s="4">
        <v>0.852985555553</v>
      </c>
      <c r="AN262" s="47">
        <v>42581.0</v>
      </c>
      <c r="AO262" s="49" t="str">
        <f t="shared" si="18"/>
        <v>2012-07</v>
      </c>
      <c r="AP262" t="str">
        <f t="shared" si="19"/>
        <v>2016-07</v>
      </c>
    </row>
    <row r="263">
      <c r="A263" s="36">
        <v>40440.0</v>
      </c>
      <c r="B263" s="34">
        <v>0.685242811259</v>
      </c>
      <c r="C263" s="36">
        <v>41298.0</v>
      </c>
      <c r="D263" t="str">
        <f t="shared" si="6"/>
        <v>2010-09</v>
      </c>
      <c r="E263" s="44" t="str">
        <f t="shared" si="7"/>
        <v>2013-01</v>
      </c>
      <c r="F263" s="45">
        <v>1190.0</v>
      </c>
      <c r="G263" s="36">
        <v>40971.0</v>
      </c>
      <c r="H263" s="34">
        <v>0.761908966175</v>
      </c>
      <c r="I263" s="36">
        <v>42454.0</v>
      </c>
      <c r="J263" t="str">
        <f t="shared" si="8"/>
        <v>2012-03</v>
      </c>
      <c r="K263" s="44" t="str">
        <f t="shared" si="9"/>
        <v>2016-03</v>
      </c>
      <c r="L263" s="46">
        <v>41218.0</v>
      </c>
      <c r="M263" s="4">
        <v>0.771278168604</v>
      </c>
      <c r="N263" s="36">
        <v>42437.0</v>
      </c>
      <c r="O263" t="str">
        <f t="shared" si="10"/>
        <v>2012-11</v>
      </c>
      <c r="P263" t="str">
        <f t="shared" si="11"/>
        <v>2016-03</v>
      </c>
      <c r="Q263" s="36">
        <v>42171.0</v>
      </c>
      <c r="R263" s="4">
        <v>0.677349454369</v>
      </c>
      <c r="S263" s="36">
        <v>42208.0</v>
      </c>
      <c r="T263" t="str">
        <f t="shared" si="12"/>
        <v>2015-06</v>
      </c>
      <c r="U263" t="str">
        <f t="shared" si="13"/>
        <v>2015-07</v>
      </c>
      <c r="AB263" s="36">
        <v>40408.0</v>
      </c>
      <c r="AC263" s="4">
        <v>0.751463733872</v>
      </c>
      <c r="AD263" s="47">
        <v>42913.0</v>
      </c>
      <c r="AE263" t="str">
        <f t="shared" si="14"/>
        <v>2010-08</v>
      </c>
      <c r="AF263" t="str">
        <f t="shared" si="15"/>
        <v>2017-06</v>
      </c>
      <c r="AG263" s="36">
        <v>41351.0</v>
      </c>
      <c r="AH263" s="4">
        <v>0.729215758443</v>
      </c>
      <c r="AJ263" s="48" t="str">
        <f t="shared" si="16"/>
        <v>2013-03</v>
      </c>
      <c r="AL263" s="36">
        <v>41103.0</v>
      </c>
      <c r="AM263" s="4">
        <v>0.694374539646</v>
      </c>
      <c r="AN263" s="47">
        <v>42615.0</v>
      </c>
      <c r="AO263" s="49" t="str">
        <f t="shared" si="18"/>
        <v>2012-07</v>
      </c>
      <c r="AP263" t="str">
        <f t="shared" si="19"/>
        <v>2016-09</v>
      </c>
    </row>
    <row r="264">
      <c r="A264" s="36">
        <v>40441.0</v>
      </c>
      <c r="B264" s="34">
        <v>0.839519510644</v>
      </c>
      <c r="C264" s="36">
        <v>41312.0</v>
      </c>
      <c r="D264" t="str">
        <f t="shared" si="6"/>
        <v>2010-09</v>
      </c>
      <c r="E264" s="44" t="str">
        <f t="shared" si="7"/>
        <v>2013-02</v>
      </c>
      <c r="F264" s="45">
        <v>1190.0</v>
      </c>
      <c r="G264" s="36">
        <v>40972.0</v>
      </c>
      <c r="H264" s="34">
        <v>0.747430561152</v>
      </c>
      <c r="I264" s="36">
        <v>42474.0</v>
      </c>
      <c r="J264" t="str">
        <f t="shared" si="8"/>
        <v>2012-03</v>
      </c>
      <c r="K264" s="44" t="str">
        <f t="shared" si="9"/>
        <v>2016-04</v>
      </c>
      <c r="L264" s="46">
        <v>41219.0</v>
      </c>
      <c r="M264" s="4">
        <v>0.525392630063</v>
      </c>
      <c r="N264" s="36">
        <v>42447.0</v>
      </c>
      <c r="O264" t="str">
        <f t="shared" si="10"/>
        <v>2012-11</v>
      </c>
      <c r="P264" t="str">
        <f t="shared" si="11"/>
        <v>2016-03</v>
      </c>
      <c r="Q264" s="36">
        <v>42172.0</v>
      </c>
      <c r="R264" s="4">
        <v>0.852922928009</v>
      </c>
      <c r="S264" s="36">
        <v>42208.0</v>
      </c>
      <c r="T264" t="str">
        <f t="shared" si="12"/>
        <v>2015-06</v>
      </c>
      <c r="U264" t="str">
        <f t="shared" si="13"/>
        <v>2015-07</v>
      </c>
      <c r="AB264" s="36">
        <v>40414.0</v>
      </c>
      <c r="AC264" s="4">
        <v>0.728650121032</v>
      </c>
      <c r="AD264" s="47">
        <v>42938.0</v>
      </c>
      <c r="AE264" t="str">
        <f t="shared" si="14"/>
        <v>2010-08</v>
      </c>
      <c r="AF264" t="str">
        <f t="shared" si="15"/>
        <v>2017-07</v>
      </c>
      <c r="AG264" s="36">
        <v>41352.0</v>
      </c>
      <c r="AH264" s="4">
        <v>0.815364406596</v>
      </c>
      <c r="AJ264" s="48" t="str">
        <f t="shared" si="16"/>
        <v>2013-03</v>
      </c>
      <c r="AL264" s="36">
        <v>41104.0</v>
      </c>
      <c r="AM264" s="4">
        <v>0.767086580189</v>
      </c>
      <c r="AN264" s="47">
        <v>42620.0</v>
      </c>
      <c r="AO264" s="49" t="str">
        <f t="shared" si="18"/>
        <v>2012-07</v>
      </c>
      <c r="AP264" t="str">
        <f t="shared" si="19"/>
        <v>2016-09</v>
      </c>
    </row>
    <row r="265">
      <c r="A265" s="36">
        <v>40447.0</v>
      </c>
      <c r="B265" s="34">
        <v>0.655471069421</v>
      </c>
      <c r="C265" s="36">
        <v>41324.0</v>
      </c>
      <c r="D265" t="str">
        <f t="shared" si="6"/>
        <v>2010-09</v>
      </c>
      <c r="E265" s="44" t="str">
        <f t="shared" si="7"/>
        <v>2013-02</v>
      </c>
      <c r="F265" s="45">
        <v>1190.0</v>
      </c>
      <c r="G265" s="36">
        <v>40973.0</v>
      </c>
      <c r="H265" s="34">
        <v>0.851510630999</v>
      </c>
      <c r="I265" s="36">
        <v>42478.0</v>
      </c>
      <c r="J265" t="str">
        <f t="shared" si="8"/>
        <v>2012-03</v>
      </c>
      <c r="K265" s="44" t="str">
        <f t="shared" si="9"/>
        <v>2016-04</v>
      </c>
      <c r="L265" s="46">
        <v>41220.0</v>
      </c>
      <c r="M265" s="4">
        <v>0.706975919327</v>
      </c>
      <c r="N265" s="36">
        <v>42463.0</v>
      </c>
      <c r="O265" t="str">
        <f t="shared" si="10"/>
        <v>2012-11</v>
      </c>
      <c r="P265" t="str">
        <f t="shared" si="11"/>
        <v>2016-04</v>
      </c>
      <c r="Q265" s="36">
        <v>42173.0</v>
      </c>
      <c r="R265" s="4">
        <v>0.431768112514</v>
      </c>
      <c r="S265" s="36">
        <v>42216.0</v>
      </c>
      <c r="T265" t="str">
        <f t="shared" si="12"/>
        <v>2015-06</v>
      </c>
      <c r="U265" t="str">
        <f t="shared" si="13"/>
        <v>2015-07</v>
      </c>
      <c r="AB265" s="36">
        <v>40415.0</v>
      </c>
      <c r="AC265" s="4">
        <v>0.675588165147</v>
      </c>
      <c r="AD265" s="47">
        <v>42955.0</v>
      </c>
      <c r="AE265" t="str">
        <f t="shared" si="14"/>
        <v>2010-08</v>
      </c>
      <c r="AF265" t="str">
        <f t="shared" si="15"/>
        <v>2017-08</v>
      </c>
      <c r="AG265" s="36">
        <v>41358.0</v>
      </c>
      <c r="AH265" s="4">
        <v>0.652407926049</v>
      </c>
      <c r="AJ265" s="48" t="str">
        <f t="shared" si="16"/>
        <v>2013-03</v>
      </c>
      <c r="AL265" s="36">
        <v>41110.0</v>
      </c>
      <c r="AM265" s="4">
        <v>0.76207495924</v>
      </c>
      <c r="AN265" s="47">
        <v>42646.0</v>
      </c>
      <c r="AO265" s="49" t="str">
        <f t="shared" si="18"/>
        <v>2012-07</v>
      </c>
      <c r="AP265" t="str">
        <f t="shared" si="19"/>
        <v>2016-10</v>
      </c>
    </row>
    <row r="266">
      <c r="A266" s="36">
        <v>40448.0</v>
      </c>
      <c r="B266" s="34">
        <v>0.64630549048</v>
      </c>
      <c r="C266" s="36">
        <v>41334.0</v>
      </c>
      <c r="D266" t="str">
        <f t="shared" si="6"/>
        <v>2010-09</v>
      </c>
      <c r="E266" s="44" t="str">
        <f t="shared" si="7"/>
        <v>2013-03</v>
      </c>
      <c r="F266" s="45">
        <v>1190.0</v>
      </c>
      <c r="G266" s="36">
        <v>40976.0</v>
      </c>
      <c r="H266" s="34">
        <v>0.708959517343</v>
      </c>
      <c r="I266" s="36">
        <v>42517.0</v>
      </c>
      <c r="J266" t="str">
        <f t="shared" si="8"/>
        <v>2012-03</v>
      </c>
      <c r="K266" s="44" t="str">
        <f t="shared" si="9"/>
        <v>2016-05</v>
      </c>
      <c r="L266" s="46">
        <v>41226.0</v>
      </c>
      <c r="M266" s="4">
        <v>0.750336605093</v>
      </c>
      <c r="N266" s="36">
        <v>42471.0</v>
      </c>
      <c r="O266" t="str">
        <f t="shared" si="10"/>
        <v>2012-11</v>
      </c>
      <c r="P266" t="str">
        <f t="shared" si="11"/>
        <v>2016-04</v>
      </c>
      <c r="Q266" s="36">
        <v>42177.0</v>
      </c>
      <c r="R266" s="4">
        <v>0.777197889807</v>
      </c>
      <c r="S266" s="36">
        <v>42216.0</v>
      </c>
      <c r="T266" t="str">
        <f t="shared" si="12"/>
        <v>2015-06</v>
      </c>
      <c r="U266" t="str">
        <f t="shared" si="13"/>
        <v>2015-07</v>
      </c>
      <c r="AB266" s="36">
        <v>40421.0</v>
      </c>
      <c r="AC266" s="4">
        <v>0.713618381754</v>
      </c>
      <c r="AD266" s="47">
        <v>42977.0</v>
      </c>
      <c r="AE266" t="str">
        <f t="shared" si="14"/>
        <v>2010-08</v>
      </c>
      <c r="AF266" t="str">
        <f t="shared" si="15"/>
        <v>2017-08</v>
      </c>
      <c r="AG266" s="36">
        <v>41359.0</v>
      </c>
      <c r="AH266" s="4">
        <v>0.7399923586</v>
      </c>
      <c r="AJ266" s="48" t="str">
        <f t="shared" si="16"/>
        <v>2013-03</v>
      </c>
      <c r="AL266" s="36">
        <v>41111.0</v>
      </c>
      <c r="AM266" s="4">
        <v>0.76956442419</v>
      </c>
      <c r="AN266" s="47">
        <v>42670.0</v>
      </c>
      <c r="AO266" s="49" t="str">
        <f t="shared" si="18"/>
        <v>2012-07</v>
      </c>
      <c r="AP266" t="str">
        <f t="shared" si="19"/>
        <v>2016-10</v>
      </c>
    </row>
    <row r="267">
      <c r="A267" s="36">
        <v>40453.0</v>
      </c>
      <c r="B267" s="34">
        <v>0.629364583279</v>
      </c>
      <c r="C267" s="36">
        <v>41339.0</v>
      </c>
      <c r="D267" t="str">
        <f t="shared" si="6"/>
        <v>2010-10</v>
      </c>
      <c r="E267" s="44" t="str">
        <f t="shared" si="7"/>
        <v>2013-03</v>
      </c>
      <c r="F267" s="45">
        <v>1190.0</v>
      </c>
      <c r="G267" s="36">
        <v>40977.0</v>
      </c>
      <c r="H267" s="34">
        <v>0.742515338655</v>
      </c>
      <c r="I267" s="36">
        <v>42536.0</v>
      </c>
      <c r="J267" t="str">
        <f t="shared" si="8"/>
        <v>2012-03</v>
      </c>
      <c r="K267" s="44" t="str">
        <f t="shared" si="9"/>
        <v>2016-06</v>
      </c>
      <c r="L267" s="46">
        <v>41227.0</v>
      </c>
      <c r="M267" s="4">
        <v>0.644457329085</v>
      </c>
      <c r="N267" s="36">
        <v>42527.0</v>
      </c>
      <c r="O267" t="str">
        <f t="shared" si="10"/>
        <v>2012-11</v>
      </c>
      <c r="P267" t="str">
        <f t="shared" si="11"/>
        <v>2016-06</v>
      </c>
      <c r="Q267" s="36">
        <v>42178.0</v>
      </c>
      <c r="R267" s="4">
        <v>0.739534098387</v>
      </c>
      <c r="S267" s="36">
        <v>42226.0</v>
      </c>
      <c r="T267" t="str">
        <f t="shared" si="12"/>
        <v>2015-06</v>
      </c>
      <c r="U267" t="str">
        <f t="shared" si="13"/>
        <v>2015-08</v>
      </c>
      <c r="AB267" s="36">
        <v>40422.0</v>
      </c>
      <c r="AC267" s="4">
        <v>0.753763319173</v>
      </c>
      <c r="AD267" s="47">
        <v>42996.0</v>
      </c>
      <c r="AE267" t="str">
        <f t="shared" si="14"/>
        <v>2010-09</v>
      </c>
      <c r="AF267" t="str">
        <f t="shared" si="15"/>
        <v>2017-09</v>
      </c>
      <c r="AG267" s="36">
        <v>41365.0</v>
      </c>
      <c r="AH267" s="4">
        <v>0.713617236077</v>
      </c>
      <c r="AJ267" s="48" t="str">
        <f t="shared" si="16"/>
        <v>2013-04</v>
      </c>
      <c r="AL267" s="36">
        <v>41117.0</v>
      </c>
      <c r="AM267" s="4">
        <v>0.727481385269</v>
      </c>
      <c r="AN267" s="47">
        <v>42695.0</v>
      </c>
      <c r="AO267" s="49" t="str">
        <f t="shared" si="18"/>
        <v>2012-07</v>
      </c>
      <c r="AP267" t="str">
        <f t="shared" si="19"/>
        <v>2016-11</v>
      </c>
    </row>
    <row r="268">
      <c r="A268" s="36">
        <v>40454.0</v>
      </c>
      <c r="B268" s="34">
        <v>0.732935493569</v>
      </c>
      <c r="C268" s="36">
        <v>41344.0</v>
      </c>
      <c r="D268" t="str">
        <f t="shared" si="6"/>
        <v>2010-10</v>
      </c>
      <c r="E268" s="44" t="str">
        <f t="shared" si="7"/>
        <v>2013-03</v>
      </c>
      <c r="F268" s="45">
        <v>1190.0</v>
      </c>
      <c r="G268" s="36">
        <v>40978.0</v>
      </c>
      <c r="H268" s="34">
        <v>0.703633344863</v>
      </c>
      <c r="I268" s="36">
        <v>42573.0</v>
      </c>
      <c r="J268" t="str">
        <f t="shared" si="8"/>
        <v>2012-03</v>
      </c>
      <c r="K268" s="44" t="str">
        <f t="shared" si="9"/>
        <v>2016-07</v>
      </c>
      <c r="L268" s="46">
        <v>41228.0</v>
      </c>
      <c r="M268" s="4">
        <v>0.831013738726</v>
      </c>
      <c r="N268" s="36">
        <v>42429.0</v>
      </c>
      <c r="O268" t="str">
        <f t="shared" si="10"/>
        <v>2012-11</v>
      </c>
      <c r="P268" t="str">
        <f t="shared" si="11"/>
        <v>2016-02</v>
      </c>
      <c r="Q268" s="36">
        <v>42179.0</v>
      </c>
      <c r="R268" s="4">
        <v>0.680916160527</v>
      </c>
      <c r="S268" s="36">
        <v>42226.0</v>
      </c>
      <c r="T268" t="str">
        <f t="shared" si="12"/>
        <v>2015-06</v>
      </c>
      <c r="U268" t="str">
        <f t="shared" si="13"/>
        <v>2015-08</v>
      </c>
      <c r="AB268" s="36">
        <v>40428.0</v>
      </c>
      <c r="AC268" s="4">
        <v>0.754153691415</v>
      </c>
      <c r="AD268" s="47">
        <v>43027.0</v>
      </c>
      <c r="AE268" t="str">
        <f t="shared" si="14"/>
        <v>2010-09</v>
      </c>
      <c r="AF268" t="str">
        <f t="shared" si="15"/>
        <v>2017-10</v>
      </c>
      <c r="AG268" s="36">
        <v>41366.0</v>
      </c>
      <c r="AH268" s="4">
        <v>0.827654158239</v>
      </c>
      <c r="AJ268" s="48" t="str">
        <f t="shared" si="16"/>
        <v>2013-04</v>
      </c>
      <c r="AL268" s="36">
        <v>41118.0</v>
      </c>
      <c r="AM268" s="4">
        <v>0.671226228869</v>
      </c>
      <c r="AN268" s="47">
        <v>42717.0</v>
      </c>
      <c r="AO268" s="49" t="str">
        <f t="shared" si="18"/>
        <v>2012-07</v>
      </c>
      <c r="AP268" t="str">
        <f t="shared" si="19"/>
        <v>2016-12</v>
      </c>
    </row>
    <row r="269">
      <c r="A269" s="36">
        <v>40455.0</v>
      </c>
      <c r="B269" s="34">
        <v>0.509276564278</v>
      </c>
      <c r="C269" s="36">
        <v>41354.0</v>
      </c>
      <c r="D269" t="str">
        <f t="shared" si="6"/>
        <v>2010-10</v>
      </c>
      <c r="E269" s="44" t="str">
        <f t="shared" si="7"/>
        <v>2013-03</v>
      </c>
      <c r="F269" s="45">
        <v>1190.0</v>
      </c>
      <c r="G269" s="36">
        <v>40979.0</v>
      </c>
      <c r="H269" s="34">
        <v>0.758731625593</v>
      </c>
      <c r="I269" s="36">
        <v>42698.0</v>
      </c>
      <c r="J269" t="str">
        <f t="shared" si="8"/>
        <v>2012-03</v>
      </c>
      <c r="K269" s="44" t="str">
        <f t="shared" si="9"/>
        <v>2016-11</v>
      </c>
      <c r="L269" s="46">
        <v>41233.0</v>
      </c>
      <c r="M269" s="4">
        <v>0.723749501853</v>
      </c>
      <c r="N269" s="36">
        <v>42436.0</v>
      </c>
      <c r="O269" t="str">
        <f t="shared" si="10"/>
        <v>2012-11</v>
      </c>
      <c r="P269" t="str">
        <f t="shared" si="11"/>
        <v>2016-03</v>
      </c>
      <c r="Q269" s="36">
        <v>42180.0</v>
      </c>
      <c r="R269" s="4">
        <v>0.482566039426</v>
      </c>
      <c r="S269" s="36">
        <v>42241.0</v>
      </c>
      <c r="T269" t="str">
        <f t="shared" si="12"/>
        <v>2015-06</v>
      </c>
      <c r="U269" t="str">
        <f t="shared" si="13"/>
        <v>2015-08</v>
      </c>
      <c r="AB269" s="36">
        <v>40429.0</v>
      </c>
      <c r="AC269" s="4">
        <v>0.695786354102</v>
      </c>
      <c r="AD269" s="47">
        <v>42006.0</v>
      </c>
      <c r="AE269" t="str">
        <f t="shared" si="14"/>
        <v>2010-09</v>
      </c>
      <c r="AF269" t="str">
        <f t="shared" si="15"/>
        <v>2015-01</v>
      </c>
      <c r="AG269" s="36">
        <v>41372.0</v>
      </c>
      <c r="AH269" s="4">
        <v>0.706910087125</v>
      </c>
      <c r="AJ269" s="48" t="str">
        <f t="shared" si="16"/>
        <v>2013-04</v>
      </c>
      <c r="AL269" s="36">
        <v>41124.0</v>
      </c>
      <c r="AM269" s="4">
        <v>0.728997635764</v>
      </c>
      <c r="AN269" s="47">
        <v>42747.0</v>
      </c>
      <c r="AO269" s="49" t="str">
        <f t="shared" si="18"/>
        <v>2012-08</v>
      </c>
      <c r="AP269" t="str">
        <f t="shared" si="19"/>
        <v>2017-01</v>
      </c>
    </row>
    <row r="270">
      <c r="A270" s="36">
        <v>40461.0</v>
      </c>
      <c r="B270" s="34">
        <v>0.739825370524</v>
      </c>
      <c r="C270" s="36">
        <v>41361.0</v>
      </c>
      <c r="D270" t="str">
        <f t="shared" si="6"/>
        <v>2010-10</v>
      </c>
      <c r="E270" s="44" t="str">
        <f t="shared" si="7"/>
        <v>2013-03</v>
      </c>
      <c r="F270" s="45">
        <v>1190.0</v>
      </c>
      <c r="G270" s="36">
        <v>40983.0</v>
      </c>
      <c r="H270" s="34">
        <v>0.675907146522</v>
      </c>
      <c r="I270" s="36">
        <v>42720.0</v>
      </c>
      <c r="J270" t="str">
        <f t="shared" si="8"/>
        <v>2012-03</v>
      </c>
      <c r="K270" s="44" t="str">
        <f t="shared" si="9"/>
        <v>2016-12</v>
      </c>
      <c r="L270" s="46">
        <v>41234.0</v>
      </c>
      <c r="M270" s="4">
        <v>0.63536480014</v>
      </c>
      <c r="N270" s="36">
        <v>42443.0</v>
      </c>
      <c r="O270" t="str">
        <f t="shared" si="10"/>
        <v>2012-11</v>
      </c>
      <c r="P270" t="str">
        <f t="shared" si="11"/>
        <v>2016-03</v>
      </c>
      <c r="Q270" s="36">
        <v>42184.0</v>
      </c>
      <c r="R270" s="4">
        <v>0.637974814885</v>
      </c>
      <c r="S270" s="36">
        <v>42241.0</v>
      </c>
      <c r="T270" t="str">
        <f t="shared" si="12"/>
        <v>2015-06</v>
      </c>
      <c r="U270" t="str">
        <f t="shared" si="13"/>
        <v>2015-08</v>
      </c>
      <c r="AB270" s="36">
        <v>40435.0</v>
      </c>
      <c r="AC270" s="4">
        <v>0.7319572614</v>
      </c>
      <c r="AD270" s="47">
        <v>42044.0</v>
      </c>
      <c r="AE270" t="str">
        <f t="shared" si="14"/>
        <v>2010-09</v>
      </c>
      <c r="AF270" t="str">
        <f t="shared" si="15"/>
        <v>2015-02</v>
      </c>
      <c r="AG270" s="36">
        <v>41373.0</v>
      </c>
      <c r="AH270" s="4">
        <v>0.739005728028</v>
      </c>
      <c r="AJ270" s="48" t="str">
        <f t="shared" si="16"/>
        <v>2013-04</v>
      </c>
      <c r="AL270" s="36">
        <v>41125.0</v>
      </c>
      <c r="AM270" s="4">
        <v>0.756188669715</v>
      </c>
      <c r="AN270" s="47">
        <v>42772.0</v>
      </c>
      <c r="AO270" s="49" t="str">
        <f t="shared" si="18"/>
        <v>2012-08</v>
      </c>
      <c r="AP270" t="str">
        <f t="shared" si="19"/>
        <v>2017-02</v>
      </c>
    </row>
    <row r="271">
      <c r="A271" s="36">
        <v>40462.0</v>
      </c>
      <c r="B271" s="34">
        <v>0.764562743284</v>
      </c>
      <c r="C271" s="36">
        <v>41367.0</v>
      </c>
      <c r="D271" t="str">
        <f t="shared" si="6"/>
        <v>2010-10</v>
      </c>
      <c r="E271" s="44" t="str">
        <f t="shared" si="7"/>
        <v>2013-04</v>
      </c>
      <c r="F271" s="45">
        <v>1190.0</v>
      </c>
      <c r="G271" s="36">
        <v>40984.0</v>
      </c>
      <c r="H271" s="34">
        <v>0.630087299562</v>
      </c>
      <c r="I271" s="36">
        <v>42747.0</v>
      </c>
      <c r="J271" t="str">
        <f t="shared" si="8"/>
        <v>2012-03</v>
      </c>
      <c r="K271" s="44" t="str">
        <f t="shared" si="9"/>
        <v>2017-01</v>
      </c>
      <c r="L271" s="46">
        <v>41235.0</v>
      </c>
      <c r="M271" s="4">
        <v>0.912655933011</v>
      </c>
      <c r="N271" s="36">
        <v>42463.0</v>
      </c>
      <c r="O271" t="str">
        <f t="shared" si="10"/>
        <v>2012-11</v>
      </c>
      <c r="P271" t="str">
        <f t="shared" si="11"/>
        <v>2016-04</v>
      </c>
      <c r="Q271" s="36">
        <v>42185.0</v>
      </c>
      <c r="R271" s="4">
        <v>0.788164088836</v>
      </c>
      <c r="S271" s="36">
        <v>42242.0</v>
      </c>
      <c r="T271" t="str">
        <f t="shared" si="12"/>
        <v>2015-06</v>
      </c>
      <c r="U271" t="str">
        <f t="shared" si="13"/>
        <v>2015-08</v>
      </c>
      <c r="AB271" s="36">
        <v>40436.0</v>
      </c>
      <c r="AC271" s="4">
        <v>0.529396750471</v>
      </c>
      <c r="AD271" s="47">
        <v>41815.0</v>
      </c>
      <c r="AE271" t="str">
        <f t="shared" si="14"/>
        <v>2010-09</v>
      </c>
      <c r="AF271" t="str">
        <f t="shared" si="15"/>
        <v>2014-06</v>
      </c>
      <c r="AG271" s="36">
        <v>41379.0</v>
      </c>
      <c r="AH271" s="4">
        <v>0.686751143472</v>
      </c>
      <c r="AJ271" s="48" t="str">
        <f t="shared" si="16"/>
        <v>2013-04</v>
      </c>
      <c r="AL271" s="36">
        <v>41131.0</v>
      </c>
      <c r="AM271" s="4">
        <v>0.773509377422</v>
      </c>
      <c r="AN271" s="47">
        <v>42800.0</v>
      </c>
      <c r="AO271" s="49" t="str">
        <f t="shared" si="18"/>
        <v>2012-08</v>
      </c>
      <c r="AP271" t="str">
        <f t="shared" si="19"/>
        <v>2017-03</v>
      </c>
    </row>
    <row r="272">
      <c r="A272" s="36">
        <v>40467.0</v>
      </c>
      <c r="B272" s="34">
        <v>0.709262095338</v>
      </c>
      <c r="C272" s="36">
        <v>41375.0</v>
      </c>
      <c r="D272" t="str">
        <f t="shared" si="6"/>
        <v>2010-10</v>
      </c>
      <c r="E272" s="44" t="str">
        <f t="shared" si="7"/>
        <v>2013-04</v>
      </c>
      <c r="F272" s="45">
        <v>619.0</v>
      </c>
      <c r="G272" s="36">
        <v>40985.0</v>
      </c>
      <c r="H272" s="34">
        <v>0.820627702893</v>
      </c>
      <c r="I272" s="36">
        <v>42670.0</v>
      </c>
      <c r="J272" t="str">
        <f t="shared" si="8"/>
        <v>2012-03</v>
      </c>
      <c r="K272" s="44" t="str">
        <f t="shared" si="9"/>
        <v>2016-10</v>
      </c>
      <c r="L272" s="46">
        <v>41238.0</v>
      </c>
      <c r="M272" s="4">
        <v>0.586927700452</v>
      </c>
      <c r="N272" s="36">
        <v>42471.0</v>
      </c>
      <c r="O272" t="str">
        <f t="shared" si="10"/>
        <v>2012-11</v>
      </c>
      <c r="P272" t="str">
        <f t="shared" si="11"/>
        <v>2016-04</v>
      </c>
      <c r="Q272" s="36">
        <v>42187.0</v>
      </c>
      <c r="R272" s="4">
        <v>0.757690142453</v>
      </c>
      <c r="S272" s="36">
        <v>42242.0</v>
      </c>
      <c r="T272" t="str">
        <f t="shared" si="12"/>
        <v>2015-07</v>
      </c>
      <c r="U272" t="str">
        <f t="shared" si="13"/>
        <v>2015-08</v>
      </c>
      <c r="AB272" s="36">
        <v>40442.0</v>
      </c>
      <c r="AC272" s="4">
        <v>0.636130796007</v>
      </c>
      <c r="AD272" s="47">
        <v>41848.0</v>
      </c>
      <c r="AE272" t="str">
        <f t="shared" si="14"/>
        <v>2010-09</v>
      </c>
      <c r="AF272" t="str">
        <f t="shared" si="15"/>
        <v>2014-07</v>
      </c>
      <c r="AG272" s="36">
        <v>41380.0</v>
      </c>
      <c r="AH272" s="4">
        <v>0.748233054521</v>
      </c>
      <c r="AJ272" s="48" t="str">
        <f t="shared" si="16"/>
        <v>2013-04</v>
      </c>
      <c r="AL272" s="36">
        <v>41132.0</v>
      </c>
      <c r="AM272" s="4">
        <v>0.899978295438</v>
      </c>
      <c r="AN272" s="47">
        <v>42829.0</v>
      </c>
      <c r="AO272" s="49" t="str">
        <f t="shared" si="18"/>
        <v>2012-08</v>
      </c>
      <c r="AP272" t="str">
        <f t="shared" si="19"/>
        <v>2017-04</v>
      </c>
    </row>
    <row r="273">
      <c r="A273" s="36">
        <v>40468.0</v>
      </c>
      <c r="B273" s="34">
        <v>0.689990536409</v>
      </c>
      <c r="C273" s="36">
        <v>41387.0</v>
      </c>
      <c r="D273" t="str">
        <f t="shared" si="6"/>
        <v>2010-10</v>
      </c>
      <c r="E273" s="44" t="str">
        <f t="shared" si="7"/>
        <v>2013-04</v>
      </c>
      <c r="F273" s="45">
        <v>563.0</v>
      </c>
      <c r="G273" s="36">
        <v>40986.0</v>
      </c>
      <c r="H273" s="34">
        <v>0.667390125245</v>
      </c>
      <c r="I273" s="36">
        <v>42695.0</v>
      </c>
      <c r="J273" t="str">
        <f t="shared" si="8"/>
        <v>2012-03</v>
      </c>
      <c r="K273" s="44" t="str">
        <f t="shared" si="9"/>
        <v>2016-11</v>
      </c>
      <c r="L273" s="46">
        <v>41239.0</v>
      </c>
      <c r="M273" s="4">
        <v>0.72762197106</v>
      </c>
      <c r="N273" s="36">
        <v>42481.0</v>
      </c>
      <c r="O273" t="str">
        <f t="shared" si="10"/>
        <v>2012-11</v>
      </c>
      <c r="P273" t="str">
        <f t="shared" si="11"/>
        <v>2016-04</v>
      </c>
      <c r="Q273" s="36">
        <v>42188.0</v>
      </c>
      <c r="R273" s="4">
        <v>0.702624579796</v>
      </c>
      <c r="S273" s="36">
        <v>42254.0</v>
      </c>
      <c r="T273" t="str">
        <f t="shared" si="12"/>
        <v>2015-07</v>
      </c>
      <c r="U273" t="str">
        <f t="shared" si="13"/>
        <v>2015-09</v>
      </c>
      <c r="AB273" s="36">
        <v>40443.0</v>
      </c>
      <c r="AC273" s="4">
        <v>0.752670530791</v>
      </c>
      <c r="AD273" s="47">
        <v>41874.0</v>
      </c>
      <c r="AE273" t="str">
        <f t="shared" si="14"/>
        <v>2010-09</v>
      </c>
      <c r="AF273" t="str">
        <f t="shared" si="15"/>
        <v>2014-08</v>
      </c>
      <c r="AG273" s="36">
        <v>41386.0</v>
      </c>
      <c r="AH273" s="4">
        <v>0.651856192329</v>
      </c>
      <c r="AJ273" s="48" t="str">
        <f t="shared" si="16"/>
        <v>2013-04</v>
      </c>
      <c r="AL273" s="36">
        <v>41138.0</v>
      </c>
      <c r="AM273" s="4">
        <v>0.6929360732</v>
      </c>
      <c r="AN273" s="47">
        <v>42856.0</v>
      </c>
      <c r="AO273" s="49" t="str">
        <f t="shared" si="18"/>
        <v>2012-08</v>
      </c>
      <c r="AP273" t="str">
        <f t="shared" si="19"/>
        <v>2017-05</v>
      </c>
    </row>
    <row r="274">
      <c r="A274" s="36">
        <v>40469.0</v>
      </c>
      <c r="B274" s="34">
        <v>0.612434659898</v>
      </c>
      <c r="C274" s="36">
        <v>41408.0</v>
      </c>
      <c r="D274" t="str">
        <f t="shared" si="6"/>
        <v>2010-10</v>
      </c>
      <c r="E274" s="44" t="str">
        <f t="shared" si="7"/>
        <v>2013-05</v>
      </c>
      <c r="F274" s="45">
        <v>549.0</v>
      </c>
      <c r="G274" s="36">
        <v>40990.0</v>
      </c>
      <c r="H274" s="34">
        <v>0.830552972283</v>
      </c>
      <c r="I274" s="36">
        <v>42698.0</v>
      </c>
      <c r="J274" t="str">
        <f t="shared" si="8"/>
        <v>2012-03</v>
      </c>
      <c r="K274" s="44" t="str">
        <f t="shared" si="9"/>
        <v>2016-11</v>
      </c>
      <c r="L274" s="46">
        <v>41240.0</v>
      </c>
      <c r="M274" s="4">
        <v>0.808720355182</v>
      </c>
      <c r="N274" s="36">
        <v>42472.0</v>
      </c>
      <c r="O274" t="str">
        <f t="shared" si="10"/>
        <v>2012-11</v>
      </c>
      <c r="P274" t="str">
        <f t="shared" si="11"/>
        <v>2016-04</v>
      </c>
      <c r="Q274" s="36">
        <v>42191.0</v>
      </c>
      <c r="R274" s="4">
        <v>0.703100436105</v>
      </c>
      <c r="S274" s="36">
        <v>42258.0</v>
      </c>
      <c r="T274" t="str">
        <f t="shared" si="12"/>
        <v>2015-07</v>
      </c>
      <c r="U274" t="str">
        <f t="shared" si="13"/>
        <v>2015-09</v>
      </c>
      <c r="AB274" s="36">
        <v>40449.0</v>
      </c>
      <c r="AC274" s="4">
        <v>0.776663692743</v>
      </c>
      <c r="AD274" s="47">
        <v>41910.0</v>
      </c>
      <c r="AE274" t="str">
        <f t="shared" si="14"/>
        <v>2010-09</v>
      </c>
      <c r="AF274" t="str">
        <f t="shared" si="15"/>
        <v>2014-09</v>
      </c>
      <c r="AG274" s="36">
        <v>41387.0</v>
      </c>
      <c r="AH274" s="4">
        <v>0.686463348747</v>
      </c>
      <c r="AJ274" s="48" t="str">
        <f t="shared" si="16"/>
        <v>2013-04</v>
      </c>
      <c r="AL274" s="36">
        <v>41145.0</v>
      </c>
      <c r="AM274" s="4">
        <v>0.801943831587</v>
      </c>
      <c r="AN274" s="47">
        <v>42884.0</v>
      </c>
      <c r="AO274" s="49" t="str">
        <f t="shared" si="18"/>
        <v>2012-08</v>
      </c>
      <c r="AP274" t="str">
        <f t="shared" si="19"/>
        <v>2017-05</v>
      </c>
    </row>
    <row r="275">
      <c r="A275" s="36">
        <v>40475.0</v>
      </c>
      <c r="B275" s="34">
        <v>0.722584861547</v>
      </c>
      <c r="C275" s="36">
        <v>41411.0</v>
      </c>
      <c r="D275" t="str">
        <f t="shared" si="6"/>
        <v>2010-10</v>
      </c>
      <c r="E275" s="44" t="str">
        <f t="shared" si="7"/>
        <v>2013-05</v>
      </c>
      <c r="F275" s="45">
        <v>510.0</v>
      </c>
      <c r="G275" s="36">
        <v>40991.0</v>
      </c>
      <c r="H275" s="34">
        <v>0.644662899287</v>
      </c>
      <c r="I275" s="36">
        <v>42712.0</v>
      </c>
      <c r="J275" t="str">
        <f t="shared" si="8"/>
        <v>2012-03</v>
      </c>
      <c r="K275" s="44" t="str">
        <f t="shared" si="9"/>
        <v>2016-12</v>
      </c>
      <c r="L275" s="46">
        <v>41241.0</v>
      </c>
      <c r="M275" s="4">
        <v>0.674326953363</v>
      </c>
      <c r="N275" s="36">
        <v>42487.0</v>
      </c>
      <c r="O275" t="str">
        <f t="shared" si="10"/>
        <v>2012-11</v>
      </c>
      <c r="P275" t="str">
        <f t="shared" si="11"/>
        <v>2016-04</v>
      </c>
      <c r="Q275" s="36">
        <v>42192.0</v>
      </c>
      <c r="R275" s="4">
        <v>0.718068538781</v>
      </c>
      <c r="S275" s="36">
        <v>42258.0</v>
      </c>
      <c r="T275" t="str">
        <f t="shared" si="12"/>
        <v>2015-07</v>
      </c>
      <c r="U275" t="str">
        <f t="shared" si="13"/>
        <v>2015-09</v>
      </c>
      <c r="AB275" s="36">
        <v>40450.0</v>
      </c>
      <c r="AC275" s="4">
        <v>0.670822618227</v>
      </c>
      <c r="AD275" s="47">
        <v>41960.0</v>
      </c>
      <c r="AE275" t="str">
        <f t="shared" si="14"/>
        <v>2010-09</v>
      </c>
      <c r="AF275" t="str">
        <f t="shared" si="15"/>
        <v>2014-11</v>
      </c>
      <c r="AG275" s="36">
        <v>41393.0</v>
      </c>
      <c r="AH275" s="4">
        <v>0.729041973564</v>
      </c>
      <c r="AJ275" s="48" t="str">
        <f t="shared" si="16"/>
        <v>2013-04</v>
      </c>
      <c r="AL275" s="36">
        <v>41146.0</v>
      </c>
      <c r="AM275" s="4">
        <v>0.726993621206</v>
      </c>
      <c r="AN275" s="47">
        <v>42893.0</v>
      </c>
      <c r="AO275" s="49" t="str">
        <f t="shared" si="18"/>
        <v>2012-08</v>
      </c>
      <c r="AP275" t="str">
        <f t="shared" si="19"/>
        <v>2017-06</v>
      </c>
    </row>
    <row r="276">
      <c r="A276" s="36">
        <v>40476.0</v>
      </c>
      <c r="B276" s="34">
        <v>0.675231103078</v>
      </c>
      <c r="C276" s="36">
        <v>41418.0</v>
      </c>
      <c r="D276" t="str">
        <f t="shared" si="6"/>
        <v>2010-10</v>
      </c>
      <c r="E276" s="44" t="str">
        <f t="shared" si="7"/>
        <v>2013-05</v>
      </c>
      <c r="F276" s="45">
        <v>508.0</v>
      </c>
      <c r="G276" s="36">
        <v>40992.0</v>
      </c>
      <c r="H276" s="34">
        <v>0.578265301079</v>
      </c>
      <c r="I276" s="36">
        <v>42727.0</v>
      </c>
      <c r="J276" t="str">
        <f t="shared" si="8"/>
        <v>2012-03</v>
      </c>
      <c r="K276" s="44" t="str">
        <f t="shared" si="9"/>
        <v>2016-12</v>
      </c>
      <c r="L276" s="46">
        <v>41247.0</v>
      </c>
      <c r="M276" s="4">
        <v>0.658407745225</v>
      </c>
      <c r="N276" s="36">
        <v>42493.0</v>
      </c>
      <c r="O276" t="str">
        <f t="shared" si="10"/>
        <v>2012-12</v>
      </c>
      <c r="P276" t="str">
        <f t="shared" si="11"/>
        <v>2016-05</v>
      </c>
      <c r="Q276" s="36">
        <v>42193.0</v>
      </c>
      <c r="R276" s="4">
        <v>0.646698942209</v>
      </c>
      <c r="S276" s="36">
        <v>42266.0</v>
      </c>
      <c r="T276" t="str">
        <f t="shared" si="12"/>
        <v>2015-07</v>
      </c>
      <c r="U276" t="str">
        <f t="shared" si="13"/>
        <v>2015-09</v>
      </c>
      <c r="AB276" s="36">
        <v>40456.0</v>
      </c>
      <c r="AC276" s="4">
        <v>0.717222184828</v>
      </c>
      <c r="AD276" s="47">
        <v>41644.0</v>
      </c>
      <c r="AE276" t="str">
        <f t="shared" si="14"/>
        <v>2010-10</v>
      </c>
      <c r="AF276" t="str">
        <f t="shared" si="15"/>
        <v>2014-01</v>
      </c>
      <c r="AG276" s="36">
        <v>41394.0</v>
      </c>
      <c r="AH276" s="4">
        <v>0.755450967726</v>
      </c>
      <c r="AJ276" s="48" t="str">
        <f t="shared" si="16"/>
        <v>2013-04</v>
      </c>
      <c r="AL276" s="36">
        <v>41152.0</v>
      </c>
      <c r="AM276" s="4">
        <v>0.763231245594</v>
      </c>
      <c r="AN276" s="47">
        <v>42919.0</v>
      </c>
      <c r="AO276" s="49" t="str">
        <f t="shared" si="18"/>
        <v>2012-08</v>
      </c>
      <c r="AP276" t="str">
        <f t="shared" si="19"/>
        <v>2017-07</v>
      </c>
    </row>
    <row r="277">
      <c r="A277" s="36">
        <v>40482.0</v>
      </c>
      <c r="B277" s="34">
        <v>0.593964517141</v>
      </c>
      <c r="C277" s="36">
        <v>41424.0</v>
      </c>
      <c r="D277" t="str">
        <f t="shared" si="6"/>
        <v>2010-10</v>
      </c>
      <c r="E277" s="44" t="str">
        <f t="shared" si="7"/>
        <v>2013-05</v>
      </c>
      <c r="F277" s="45">
        <v>508.0</v>
      </c>
      <c r="G277" s="36">
        <v>40993.0</v>
      </c>
      <c r="H277" s="34">
        <v>0.736218425251</v>
      </c>
      <c r="I277" s="36">
        <v>42773.0</v>
      </c>
      <c r="J277" t="str">
        <f t="shared" si="8"/>
        <v>2012-03</v>
      </c>
      <c r="K277" s="44" t="str">
        <f t="shared" si="9"/>
        <v>2017-02</v>
      </c>
      <c r="L277" s="46">
        <v>41248.0</v>
      </c>
      <c r="M277" s="4">
        <v>0.742307111438</v>
      </c>
      <c r="N277" s="36">
        <v>42499.0</v>
      </c>
      <c r="O277" t="str">
        <f t="shared" si="10"/>
        <v>2012-12</v>
      </c>
      <c r="P277" t="str">
        <f t="shared" si="11"/>
        <v>2016-05</v>
      </c>
      <c r="Q277" s="36">
        <v>42194.0</v>
      </c>
      <c r="R277" s="4">
        <v>0.706510731359</v>
      </c>
      <c r="S277" s="36">
        <v>42266.0</v>
      </c>
      <c r="T277" t="str">
        <f t="shared" si="12"/>
        <v>2015-07</v>
      </c>
      <c r="U277" t="str">
        <f t="shared" si="13"/>
        <v>2015-09</v>
      </c>
      <c r="AB277" s="36">
        <v>40457.0</v>
      </c>
      <c r="AC277" s="4">
        <v>0.671284174252</v>
      </c>
      <c r="AD277" s="47">
        <v>41710.0</v>
      </c>
      <c r="AE277" t="str">
        <f t="shared" si="14"/>
        <v>2010-10</v>
      </c>
      <c r="AF277" t="str">
        <f t="shared" si="15"/>
        <v>2014-03</v>
      </c>
      <c r="AG277" s="36">
        <v>41400.0</v>
      </c>
      <c r="AH277" s="4">
        <v>0.663479509532</v>
      </c>
      <c r="AJ277" s="48" t="str">
        <f t="shared" si="16"/>
        <v>2013-05</v>
      </c>
      <c r="AL277" s="36">
        <v>41153.0</v>
      </c>
      <c r="AM277" s="4">
        <v>0.809807311375</v>
      </c>
      <c r="AN277" s="47">
        <v>42921.0</v>
      </c>
      <c r="AO277" s="49" t="str">
        <f t="shared" si="18"/>
        <v>2012-09</v>
      </c>
      <c r="AP277" t="str">
        <f t="shared" si="19"/>
        <v>2017-07</v>
      </c>
    </row>
    <row r="278">
      <c r="A278" s="36">
        <v>40488.0</v>
      </c>
      <c r="B278" s="34">
        <v>0.837953214371</v>
      </c>
      <c r="C278" s="36">
        <v>41429.0</v>
      </c>
      <c r="D278" t="str">
        <f t="shared" si="6"/>
        <v>2010-11</v>
      </c>
      <c r="E278" s="44" t="str">
        <f t="shared" si="7"/>
        <v>2013-06</v>
      </c>
      <c r="F278" s="45">
        <v>508.0</v>
      </c>
      <c r="G278" s="36">
        <v>40994.0</v>
      </c>
      <c r="H278" s="34">
        <v>0.663606271797</v>
      </c>
      <c r="I278" s="36">
        <v>42802.0</v>
      </c>
      <c r="J278" t="str">
        <f t="shared" si="8"/>
        <v>2012-03</v>
      </c>
      <c r="K278" s="44" t="str">
        <f t="shared" si="9"/>
        <v>2017-03</v>
      </c>
      <c r="L278" s="46">
        <v>41254.0</v>
      </c>
      <c r="M278" s="4">
        <v>0.607822608324</v>
      </c>
      <c r="N278" s="36">
        <v>42529.0</v>
      </c>
      <c r="O278" t="str">
        <f t="shared" si="10"/>
        <v>2012-12</v>
      </c>
      <c r="P278" t="str">
        <f t="shared" si="11"/>
        <v>2016-06</v>
      </c>
      <c r="Q278" s="36">
        <v>42199.0</v>
      </c>
      <c r="R278" s="4">
        <v>0.793425257967</v>
      </c>
      <c r="S278" s="36">
        <v>42272.0</v>
      </c>
      <c r="T278" t="str">
        <f t="shared" si="12"/>
        <v>2015-07</v>
      </c>
      <c r="U278" t="str">
        <f t="shared" si="13"/>
        <v>2015-09</v>
      </c>
      <c r="AB278" s="36">
        <v>40463.0</v>
      </c>
      <c r="AC278" s="4">
        <v>0.571327236874</v>
      </c>
      <c r="AD278" s="47">
        <v>41765.0</v>
      </c>
      <c r="AE278" t="str">
        <f t="shared" si="14"/>
        <v>2010-10</v>
      </c>
      <c r="AF278" t="str">
        <f t="shared" si="15"/>
        <v>2014-05</v>
      </c>
      <c r="AG278" s="36">
        <v>41401.0</v>
      </c>
      <c r="AH278" s="4">
        <v>0.697386883921</v>
      </c>
      <c r="AJ278" s="48" t="str">
        <f t="shared" si="16"/>
        <v>2013-05</v>
      </c>
      <c r="AL278" s="36">
        <v>41159.0</v>
      </c>
      <c r="AM278" s="4">
        <v>0.703419995748</v>
      </c>
      <c r="AN278" s="47">
        <v>42933.0</v>
      </c>
      <c r="AO278" s="49" t="str">
        <f t="shared" si="18"/>
        <v>2012-09</v>
      </c>
      <c r="AP278" t="str">
        <f t="shared" si="19"/>
        <v>2017-07</v>
      </c>
    </row>
    <row r="279">
      <c r="A279" s="36">
        <v>40489.0</v>
      </c>
      <c r="B279" s="34">
        <v>0.74524685138</v>
      </c>
      <c r="C279" s="36">
        <v>41438.0</v>
      </c>
      <c r="D279" t="str">
        <f t="shared" si="6"/>
        <v>2010-11</v>
      </c>
      <c r="E279" s="44" t="str">
        <f t="shared" si="7"/>
        <v>2013-06</v>
      </c>
      <c r="F279" s="45">
        <v>508.0</v>
      </c>
      <c r="G279" s="36">
        <v>40997.0</v>
      </c>
      <c r="H279" s="34">
        <v>0.700229999996</v>
      </c>
      <c r="I279" s="36">
        <v>42825.0</v>
      </c>
      <c r="J279" t="str">
        <f t="shared" si="8"/>
        <v>2012-03</v>
      </c>
      <c r="K279" s="44" t="str">
        <f t="shared" si="9"/>
        <v>2017-03</v>
      </c>
      <c r="L279" s="46">
        <v>41255.0</v>
      </c>
      <c r="M279" s="4">
        <v>0.623305202851</v>
      </c>
      <c r="N279" s="36">
        <v>42548.0</v>
      </c>
      <c r="O279" t="str">
        <f t="shared" si="10"/>
        <v>2012-12</v>
      </c>
      <c r="P279" t="str">
        <f t="shared" si="11"/>
        <v>2016-06</v>
      </c>
      <c r="Q279" s="36">
        <v>42200.0</v>
      </c>
      <c r="R279" s="4">
        <v>0.773339210744</v>
      </c>
      <c r="S279" s="36">
        <v>42272.0</v>
      </c>
      <c r="T279" t="str">
        <f t="shared" si="12"/>
        <v>2015-07</v>
      </c>
      <c r="U279" t="str">
        <f t="shared" si="13"/>
        <v>2015-09</v>
      </c>
      <c r="AB279" s="36">
        <v>40464.0</v>
      </c>
      <c r="AC279" s="4">
        <v>0.812554261443</v>
      </c>
      <c r="AD279" s="47">
        <v>42085.0</v>
      </c>
      <c r="AE279" t="str">
        <f t="shared" si="14"/>
        <v>2010-10</v>
      </c>
      <c r="AF279" t="str">
        <f t="shared" si="15"/>
        <v>2015-03</v>
      </c>
      <c r="AG279" s="36">
        <v>41407.0</v>
      </c>
      <c r="AH279" s="4">
        <v>0.721794831838</v>
      </c>
      <c r="AJ279" s="48" t="str">
        <f t="shared" si="16"/>
        <v>2013-05</v>
      </c>
      <c r="AL279" s="36">
        <v>41160.0</v>
      </c>
      <c r="AM279" s="4">
        <v>0.69517901144</v>
      </c>
      <c r="AN279" s="47">
        <v>42948.0</v>
      </c>
      <c r="AO279" s="49" t="str">
        <f t="shared" si="18"/>
        <v>2012-09</v>
      </c>
      <c r="AP279" t="str">
        <f t="shared" si="19"/>
        <v>2017-08</v>
      </c>
    </row>
    <row r="280">
      <c r="A280" s="36">
        <v>40490.0</v>
      </c>
      <c r="B280" s="34">
        <v>0.563623078896</v>
      </c>
      <c r="C280" s="36">
        <v>41443.0</v>
      </c>
      <c r="D280" t="str">
        <f t="shared" si="6"/>
        <v>2010-11</v>
      </c>
      <c r="E280" s="44" t="str">
        <f t="shared" si="7"/>
        <v>2013-06</v>
      </c>
      <c r="F280" s="45">
        <v>508.0</v>
      </c>
      <c r="G280" s="36">
        <v>40998.0</v>
      </c>
      <c r="H280" s="34">
        <v>0.695656837648</v>
      </c>
      <c r="I280" s="36">
        <v>42919.0</v>
      </c>
      <c r="J280" t="str">
        <f t="shared" si="8"/>
        <v>2012-03</v>
      </c>
      <c r="K280" s="44" t="str">
        <f t="shared" si="9"/>
        <v>2017-07</v>
      </c>
      <c r="L280" s="46">
        <v>41259.0</v>
      </c>
      <c r="M280" s="4">
        <v>0.664530632638</v>
      </c>
      <c r="N280" s="36">
        <v>42562.0</v>
      </c>
      <c r="O280" t="str">
        <f t="shared" si="10"/>
        <v>2012-12</v>
      </c>
      <c r="P280" t="str">
        <f t="shared" si="11"/>
        <v>2016-07</v>
      </c>
      <c r="Q280" s="36">
        <v>42201.0</v>
      </c>
      <c r="R280" s="4">
        <v>0.728343753942</v>
      </c>
      <c r="S280" s="36">
        <v>42247.0</v>
      </c>
      <c r="T280" t="str">
        <f t="shared" si="12"/>
        <v>2015-07</v>
      </c>
      <c r="U280" t="str">
        <f t="shared" si="13"/>
        <v>2015-08</v>
      </c>
      <c r="AB280" s="36">
        <v>40470.0</v>
      </c>
      <c r="AC280" s="4">
        <v>0.708894119965</v>
      </c>
      <c r="AD280" s="47">
        <v>42099.0</v>
      </c>
      <c r="AE280" t="str">
        <f t="shared" si="14"/>
        <v>2010-10</v>
      </c>
      <c r="AF280" t="str">
        <f t="shared" si="15"/>
        <v>2015-04</v>
      </c>
      <c r="AG280" s="36">
        <v>41408.0</v>
      </c>
      <c r="AH280" s="4">
        <v>0.800973122468</v>
      </c>
      <c r="AJ280" s="48" t="str">
        <f t="shared" si="16"/>
        <v>2013-05</v>
      </c>
      <c r="AL280" s="36">
        <v>41166.0</v>
      </c>
      <c r="AM280" s="4">
        <v>0.744259132024</v>
      </c>
      <c r="AN280" s="47">
        <v>42975.0</v>
      </c>
      <c r="AO280" s="49" t="str">
        <f t="shared" si="18"/>
        <v>2012-09</v>
      </c>
      <c r="AP280" t="str">
        <f t="shared" si="19"/>
        <v>2017-08</v>
      </c>
    </row>
    <row r="281">
      <c r="A281" s="36">
        <v>40495.0</v>
      </c>
      <c r="B281" s="34">
        <v>0.919430187514</v>
      </c>
      <c r="C281" s="36">
        <v>41464.0</v>
      </c>
      <c r="D281" t="str">
        <f t="shared" si="6"/>
        <v>2010-11</v>
      </c>
      <c r="E281" s="44" t="str">
        <f t="shared" si="7"/>
        <v>2013-07</v>
      </c>
      <c r="F281" s="45">
        <v>508.0</v>
      </c>
      <c r="G281" s="36">
        <v>40999.0</v>
      </c>
      <c r="H281" s="34">
        <v>0.512799621124</v>
      </c>
      <c r="I281" s="36">
        <v>42965.0</v>
      </c>
      <c r="J281" t="str">
        <f t="shared" si="8"/>
        <v>2012-03</v>
      </c>
      <c r="K281" s="44" t="str">
        <f t="shared" si="9"/>
        <v>2017-08</v>
      </c>
      <c r="L281" s="46">
        <v>41260.0</v>
      </c>
      <c r="M281" s="4">
        <v>0.666185305586</v>
      </c>
      <c r="N281" s="36">
        <v>42529.0</v>
      </c>
      <c r="O281" t="str">
        <f t="shared" si="10"/>
        <v>2012-12</v>
      </c>
      <c r="P281" t="str">
        <f t="shared" si="11"/>
        <v>2016-06</v>
      </c>
      <c r="Q281" s="36">
        <v>42205.0</v>
      </c>
      <c r="R281" s="4">
        <v>0.734864858527</v>
      </c>
      <c r="S281" s="36">
        <v>42248.0</v>
      </c>
      <c r="T281" t="str">
        <f t="shared" si="12"/>
        <v>2015-07</v>
      </c>
      <c r="U281" t="str">
        <f t="shared" si="13"/>
        <v>2015-09</v>
      </c>
      <c r="AB281" s="36">
        <v>40471.0</v>
      </c>
      <c r="AC281" s="4">
        <v>0.704492913784</v>
      </c>
      <c r="AD281" s="47">
        <v>42114.0</v>
      </c>
      <c r="AE281" t="str">
        <f t="shared" si="14"/>
        <v>2010-10</v>
      </c>
      <c r="AF281" t="str">
        <f t="shared" si="15"/>
        <v>2015-04</v>
      </c>
      <c r="AG281" s="36">
        <v>41414.0</v>
      </c>
      <c r="AH281" s="4">
        <v>0.708148048998</v>
      </c>
      <c r="AJ281" s="48" t="str">
        <f t="shared" si="16"/>
        <v>2013-05</v>
      </c>
      <c r="AL281" s="36">
        <v>41167.0</v>
      </c>
      <c r="AM281" s="4">
        <v>0.745401726563</v>
      </c>
      <c r="AN281" s="47">
        <v>43013.0</v>
      </c>
      <c r="AO281" s="49" t="str">
        <f t="shared" si="18"/>
        <v>2012-09</v>
      </c>
      <c r="AP281" t="str">
        <f t="shared" si="19"/>
        <v>2017-10</v>
      </c>
    </row>
    <row r="282">
      <c r="A282" s="36">
        <v>40496.0</v>
      </c>
      <c r="B282" s="34">
        <v>0.678360048655</v>
      </c>
      <c r="C282" s="36">
        <v>41480.0</v>
      </c>
      <c r="D282" t="str">
        <f t="shared" si="6"/>
        <v>2010-11</v>
      </c>
      <c r="E282" s="44" t="str">
        <f t="shared" si="7"/>
        <v>2013-07</v>
      </c>
      <c r="F282" s="63"/>
      <c r="G282" s="36">
        <v>41000.0</v>
      </c>
      <c r="H282" s="34">
        <v>0.706224375036</v>
      </c>
      <c r="J282" t="str">
        <f t="shared" si="8"/>
        <v>2012-04</v>
      </c>
      <c r="K282" s="44"/>
      <c r="L282" s="46">
        <v>41261.0</v>
      </c>
      <c r="M282" s="4">
        <v>0.67148015565</v>
      </c>
      <c r="N282" s="36">
        <v>42548.0</v>
      </c>
      <c r="O282" t="str">
        <f t="shared" si="10"/>
        <v>2012-12</v>
      </c>
      <c r="P282" t="str">
        <f t="shared" si="11"/>
        <v>2016-06</v>
      </c>
      <c r="Q282" s="36">
        <v>42206.0</v>
      </c>
      <c r="R282" s="4">
        <v>0.774282648433</v>
      </c>
      <c r="S282" s="36">
        <v>42254.0</v>
      </c>
      <c r="T282" t="str">
        <f t="shared" si="12"/>
        <v>2015-07</v>
      </c>
      <c r="U282" t="str">
        <f t="shared" si="13"/>
        <v>2015-09</v>
      </c>
      <c r="AB282" s="36">
        <v>40477.0</v>
      </c>
      <c r="AC282" s="4">
        <v>0.717336799945</v>
      </c>
      <c r="AD282" s="47">
        <v>42127.0</v>
      </c>
      <c r="AE282" t="str">
        <f t="shared" si="14"/>
        <v>2010-10</v>
      </c>
      <c r="AF282" t="str">
        <f t="shared" si="15"/>
        <v>2015-05</v>
      </c>
      <c r="AG282" s="36">
        <v>41415.0</v>
      </c>
      <c r="AH282" s="4">
        <v>0.7399923586</v>
      </c>
      <c r="AJ282" s="48" t="str">
        <f t="shared" si="16"/>
        <v>2013-05</v>
      </c>
      <c r="AL282" s="36">
        <v>41173.0</v>
      </c>
      <c r="AM282" s="4">
        <v>0.748681868216</v>
      </c>
      <c r="AN282" s="47">
        <v>43049.0</v>
      </c>
      <c r="AO282" s="49" t="str">
        <f t="shared" si="18"/>
        <v>2012-09</v>
      </c>
      <c r="AP282" t="str">
        <f t="shared" si="19"/>
        <v>2017-11</v>
      </c>
    </row>
    <row r="283">
      <c r="A283" s="36">
        <v>40502.0</v>
      </c>
      <c r="B283" s="34">
        <v>0.70032237336</v>
      </c>
      <c r="C283" s="36">
        <v>41480.0</v>
      </c>
      <c r="D283" t="str">
        <f t="shared" si="6"/>
        <v>2010-11</v>
      </c>
      <c r="E283" s="44" t="str">
        <f t="shared" si="7"/>
        <v>2013-07</v>
      </c>
      <c r="F283" s="63"/>
      <c r="G283" s="36">
        <v>41004.0</v>
      </c>
      <c r="H283" s="34">
        <v>0.673795035613</v>
      </c>
      <c r="J283" t="str">
        <f t="shared" si="8"/>
        <v>2012-04</v>
      </c>
      <c r="K283" s="44"/>
      <c r="L283" s="46">
        <v>41262.0</v>
      </c>
      <c r="M283" s="4">
        <v>0.752316876179</v>
      </c>
      <c r="N283" s="36">
        <v>42556.0</v>
      </c>
      <c r="O283" t="str">
        <f t="shared" si="10"/>
        <v>2012-12</v>
      </c>
      <c r="P283" t="str">
        <f t="shared" si="11"/>
        <v>2016-07</v>
      </c>
      <c r="Q283" s="36">
        <v>42207.0</v>
      </c>
      <c r="R283" s="4">
        <v>0.61857332562</v>
      </c>
      <c r="S283" s="36">
        <v>42258.0</v>
      </c>
      <c r="T283" t="str">
        <f t="shared" si="12"/>
        <v>2015-07</v>
      </c>
      <c r="U283" t="str">
        <f t="shared" si="13"/>
        <v>2015-09</v>
      </c>
      <c r="AB283" s="36">
        <v>40478.0</v>
      </c>
      <c r="AC283" s="4">
        <v>0.675993191903</v>
      </c>
      <c r="AD283" s="47">
        <v>42132.0</v>
      </c>
      <c r="AE283" t="str">
        <f t="shared" si="14"/>
        <v>2010-10</v>
      </c>
      <c r="AF283" t="str">
        <f t="shared" si="15"/>
        <v>2015-05</v>
      </c>
      <c r="AG283" s="36">
        <v>41421.0</v>
      </c>
      <c r="AH283" s="4">
        <v>0.735644320365</v>
      </c>
      <c r="AJ283" s="48" t="str">
        <f t="shared" si="16"/>
        <v>2013-05</v>
      </c>
      <c r="AL283" s="36">
        <v>41174.0</v>
      </c>
      <c r="AM283" s="4">
        <v>0.709141909528</v>
      </c>
      <c r="AN283" s="47">
        <v>42324.0</v>
      </c>
      <c r="AO283" s="49" t="str">
        <f t="shared" si="18"/>
        <v>2012-09</v>
      </c>
      <c r="AP283" t="str">
        <f t="shared" si="19"/>
        <v>2015-11</v>
      </c>
    </row>
    <row r="284">
      <c r="A284" s="36">
        <v>40503.0</v>
      </c>
      <c r="B284" s="34">
        <v>0.740279921755</v>
      </c>
      <c r="C284" s="36">
        <v>41502.0</v>
      </c>
      <c r="D284" t="str">
        <f t="shared" si="6"/>
        <v>2010-11</v>
      </c>
      <c r="E284" s="44" t="str">
        <f t="shared" si="7"/>
        <v>2013-08</v>
      </c>
      <c r="F284" s="63"/>
      <c r="G284" s="36">
        <v>41005.0</v>
      </c>
      <c r="H284" s="34">
        <v>0.722149310768</v>
      </c>
      <c r="J284" t="str">
        <f t="shared" si="8"/>
        <v>2012-04</v>
      </c>
      <c r="K284" s="44"/>
      <c r="L284" s="46">
        <v>41263.0</v>
      </c>
      <c r="M284" s="4">
        <v>0.845261604297</v>
      </c>
      <c r="N284" s="36">
        <v>42563.0</v>
      </c>
      <c r="O284" t="str">
        <f t="shared" si="10"/>
        <v>2012-12</v>
      </c>
      <c r="P284" t="str">
        <f t="shared" si="11"/>
        <v>2016-07</v>
      </c>
      <c r="Q284" s="36">
        <v>42208.0</v>
      </c>
      <c r="R284" s="4">
        <v>0.674909310498</v>
      </c>
      <c r="S284" s="36">
        <v>42266.0</v>
      </c>
      <c r="T284" t="str">
        <f t="shared" si="12"/>
        <v>2015-07</v>
      </c>
      <c r="U284" t="str">
        <f t="shared" si="13"/>
        <v>2015-09</v>
      </c>
      <c r="AB284" s="36">
        <v>40484.0</v>
      </c>
      <c r="AC284" s="4">
        <v>0.676149251256</v>
      </c>
      <c r="AD284" s="47">
        <v>42142.0</v>
      </c>
      <c r="AE284" t="str">
        <f t="shared" si="14"/>
        <v>2010-11</v>
      </c>
      <c r="AF284" t="str">
        <f t="shared" si="15"/>
        <v>2015-05</v>
      </c>
      <c r="AG284" s="36">
        <v>41422.0</v>
      </c>
      <c r="AH284" s="4">
        <v>0.66778535919</v>
      </c>
      <c r="AJ284" s="48" t="str">
        <f t="shared" si="16"/>
        <v>2013-05</v>
      </c>
      <c r="AL284" s="36">
        <v>41181.0</v>
      </c>
      <c r="AM284" s="4">
        <v>0.731975799352</v>
      </c>
      <c r="AN284" s="47">
        <v>42338.0</v>
      </c>
      <c r="AO284" s="49" t="str">
        <f t="shared" si="18"/>
        <v>2012-09</v>
      </c>
      <c r="AP284" t="str">
        <f t="shared" si="19"/>
        <v>2015-11</v>
      </c>
    </row>
    <row r="285">
      <c r="A285" s="36">
        <v>40504.0</v>
      </c>
      <c r="B285" s="34">
        <v>0.853435979937</v>
      </c>
      <c r="C285" s="36">
        <v>41507.0</v>
      </c>
      <c r="D285" t="str">
        <f t="shared" si="6"/>
        <v>2010-11</v>
      </c>
      <c r="E285" s="44" t="str">
        <f t="shared" si="7"/>
        <v>2013-08</v>
      </c>
      <c r="F285" s="63"/>
      <c r="G285" s="36">
        <v>41006.0</v>
      </c>
      <c r="H285" s="34">
        <v>0.739254056501</v>
      </c>
      <c r="J285" t="str">
        <f t="shared" si="8"/>
        <v>2012-04</v>
      </c>
      <c r="K285" s="44"/>
      <c r="L285" s="46">
        <v>41266.0</v>
      </c>
      <c r="M285" s="4">
        <v>0.555160458432</v>
      </c>
      <c r="N285" s="36">
        <v>42576.0</v>
      </c>
      <c r="O285" t="str">
        <f t="shared" si="10"/>
        <v>2012-12</v>
      </c>
      <c r="P285" t="str">
        <f t="shared" si="11"/>
        <v>2016-07</v>
      </c>
      <c r="Q285" s="36">
        <v>42209.0</v>
      </c>
      <c r="R285" s="4">
        <v>0.964351345946</v>
      </c>
      <c r="S285" s="36">
        <v>42272.0</v>
      </c>
      <c r="T285" t="str">
        <f t="shared" si="12"/>
        <v>2015-07</v>
      </c>
      <c r="U285" t="str">
        <f t="shared" si="13"/>
        <v>2015-09</v>
      </c>
      <c r="AB285" s="36">
        <v>40485.0</v>
      </c>
      <c r="AC285" s="4">
        <v>0.74371490742</v>
      </c>
      <c r="AD285" s="47">
        <v>42152.0</v>
      </c>
      <c r="AE285" t="str">
        <f t="shared" si="14"/>
        <v>2010-11</v>
      </c>
      <c r="AF285" t="str">
        <f t="shared" si="15"/>
        <v>2015-05</v>
      </c>
      <c r="AG285" s="36">
        <v>41428.0</v>
      </c>
      <c r="AH285" s="4">
        <v>0.697889604654</v>
      </c>
      <c r="AJ285" s="48" t="str">
        <f t="shared" si="16"/>
        <v>2013-06</v>
      </c>
      <c r="AL285" s="36">
        <v>41187.0</v>
      </c>
      <c r="AM285" s="4">
        <v>0.726965194456</v>
      </c>
      <c r="AN285" s="47">
        <v>42364.0</v>
      </c>
      <c r="AO285" s="49" t="str">
        <f t="shared" si="18"/>
        <v>2012-10</v>
      </c>
      <c r="AP285" t="str">
        <f t="shared" si="19"/>
        <v>2015-12</v>
      </c>
    </row>
    <row r="286">
      <c r="A286" s="36">
        <v>40510.0</v>
      </c>
      <c r="B286" s="34">
        <v>0.724016247464</v>
      </c>
      <c r="C286" s="36">
        <v>41521.0</v>
      </c>
      <c r="D286" t="str">
        <f t="shared" si="6"/>
        <v>2010-11</v>
      </c>
      <c r="E286" s="44" t="str">
        <f t="shared" si="7"/>
        <v>2013-09</v>
      </c>
      <c r="F286" s="63"/>
      <c r="G286" s="36">
        <v>41007.0</v>
      </c>
      <c r="H286" s="34">
        <v>0.798144516183</v>
      </c>
      <c r="J286" t="str">
        <f t="shared" si="8"/>
        <v>2012-04</v>
      </c>
      <c r="K286" s="44"/>
      <c r="L286" s="46">
        <v>41267.0</v>
      </c>
      <c r="M286" s="4">
        <v>0.753331465185</v>
      </c>
      <c r="N286" s="36">
        <v>42598.0</v>
      </c>
      <c r="O286" t="str">
        <f t="shared" si="10"/>
        <v>2012-12</v>
      </c>
      <c r="P286" t="str">
        <f t="shared" si="11"/>
        <v>2016-08</v>
      </c>
      <c r="Q286" s="36">
        <v>42212.0</v>
      </c>
      <c r="R286" s="4">
        <v>0.680248348803</v>
      </c>
      <c r="S286" s="36">
        <v>42279.0</v>
      </c>
      <c r="T286" t="str">
        <f t="shared" si="12"/>
        <v>2015-07</v>
      </c>
      <c r="U286" t="str">
        <f t="shared" si="13"/>
        <v>2015-10</v>
      </c>
      <c r="AB286" s="36">
        <v>40491.0</v>
      </c>
      <c r="AC286" s="4">
        <v>0.718323323937</v>
      </c>
      <c r="AD286" s="47">
        <v>42170.0</v>
      </c>
      <c r="AE286" t="str">
        <f t="shared" si="14"/>
        <v>2010-11</v>
      </c>
      <c r="AF286" t="str">
        <f t="shared" si="15"/>
        <v>2015-06</v>
      </c>
      <c r="AG286" s="36">
        <v>41429.0</v>
      </c>
      <c r="AH286" s="4">
        <v>0.66687778017</v>
      </c>
      <c r="AJ286" s="48" t="str">
        <f t="shared" si="16"/>
        <v>2013-06</v>
      </c>
      <c r="AL286" s="36">
        <v>41188.0</v>
      </c>
      <c r="AM286" s="4">
        <v>0.846449656841</v>
      </c>
      <c r="AN286" s="47">
        <v>42383.0</v>
      </c>
      <c r="AO286" s="49" t="str">
        <f t="shared" si="18"/>
        <v>2012-10</v>
      </c>
      <c r="AP286" t="str">
        <f t="shared" si="19"/>
        <v>2016-01</v>
      </c>
    </row>
    <row r="287">
      <c r="A287" s="36">
        <v>40511.0</v>
      </c>
      <c r="B287" s="34">
        <v>0.879999282742</v>
      </c>
      <c r="C287" s="36">
        <v>41541.0</v>
      </c>
      <c r="D287" t="str">
        <f t="shared" si="6"/>
        <v>2010-11</v>
      </c>
      <c r="E287" s="44" t="str">
        <f t="shared" si="7"/>
        <v>2013-09</v>
      </c>
      <c r="F287" s="63"/>
      <c r="G287" s="36">
        <v>41008.0</v>
      </c>
      <c r="H287" s="34">
        <v>0.680235808077</v>
      </c>
      <c r="J287" t="str">
        <f t="shared" si="8"/>
        <v>2012-04</v>
      </c>
      <c r="K287" s="44"/>
      <c r="L287" s="46">
        <v>41268.0</v>
      </c>
      <c r="M287" s="4">
        <v>0.56648024233</v>
      </c>
      <c r="N287" s="36">
        <v>42613.0</v>
      </c>
      <c r="O287" t="str">
        <f t="shared" si="10"/>
        <v>2012-12</v>
      </c>
      <c r="P287" t="str">
        <f t="shared" si="11"/>
        <v>2016-08</v>
      </c>
      <c r="Q287" s="36">
        <v>42213.0</v>
      </c>
      <c r="R287" s="4">
        <v>0.734823086875</v>
      </c>
      <c r="S287" s="36">
        <v>42288.0</v>
      </c>
      <c r="T287" t="str">
        <f t="shared" si="12"/>
        <v>2015-07</v>
      </c>
      <c r="U287" t="str">
        <f t="shared" si="13"/>
        <v>2015-10</v>
      </c>
      <c r="AB287" s="36">
        <v>40492.0</v>
      </c>
      <c r="AC287" s="4">
        <v>0.690647998639</v>
      </c>
      <c r="AD287" s="47">
        <v>42183.0</v>
      </c>
      <c r="AE287" t="str">
        <f t="shared" si="14"/>
        <v>2010-11</v>
      </c>
      <c r="AF287" t="str">
        <f t="shared" si="15"/>
        <v>2015-06</v>
      </c>
      <c r="AG287" s="36">
        <v>41435.0</v>
      </c>
      <c r="AH287" s="4">
        <v>0.668542758792</v>
      </c>
      <c r="AJ287" s="48" t="str">
        <f t="shared" si="16"/>
        <v>2013-06</v>
      </c>
      <c r="AL287" s="36">
        <v>41194.0</v>
      </c>
      <c r="AM287" s="4">
        <v>0.751429069299</v>
      </c>
      <c r="AN287" s="47">
        <v>42428.0</v>
      </c>
      <c r="AO287" s="49" t="str">
        <f t="shared" si="18"/>
        <v>2012-10</v>
      </c>
      <c r="AP287" t="str">
        <f t="shared" si="19"/>
        <v>2016-02</v>
      </c>
    </row>
    <row r="288">
      <c r="A288" s="36">
        <v>40517.0</v>
      </c>
      <c r="B288" s="34">
        <v>0.716609520067</v>
      </c>
      <c r="C288" s="36">
        <v>41547.0</v>
      </c>
      <c r="D288" t="str">
        <f t="shared" si="6"/>
        <v>2010-12</v>
      </c>
      <c r="E288" s="44" t="str">
        <f t="shared" si="7"/>
        <v>2013-09</v>
      </c>
      <c r="F288" s="63"/>
      <c r="G288" s="36">
        <v>41012.0</v>
      </c>
      <c r="H288" s="34">
        <v>0.546049312786</v>
      </c>
      <c r="J288" t="str">
        <f t="shared" si="8"/>
        <v>2012-04</v>
      </c>
      <c r="K288" s="44"/>
      <c r="L288" s="46">
        <v>41269.0</v>
      </c>
      <c r="M288" s="4">
        <v>0.777472317032</v>
      </c>
      <c r="N288" s="36">
        <v>42619.0</v>
      </c>
      <c r="O288" t="str">
        <f t="shared" si="10"/>
        <v>2012-12</v>
      </c>
      <c r="P288" t="str">
        <f t="shared" si="11"/>
        <v>2016-09</v>
      </c>
      <c r="Q288" s="36">
        <v>42215.0</v>
      </c>
      <c r="R288" s="4">
        <v>0.6369316273</v>
      </c>
      <c r="S288" s="36">
        <v>42268.0</v>
      </c>
      <c r="T288" t="str">
        <f t="shared" si="12"/>
        <v>2015-07</v>
      </c>
      <c r="U288" t="str">
        <f t="shared" si="13"/>
        <v>2015-09</v>
      </c>
      <c r="AB288" s="36">
        <v>40498.0</v>
      </c>
      <c r="AC288" s="4">
        <v>0.696425214439</v>
      </c>
      <c r="AD288" s="47">
        <v>42202.0</v>
      </c>
      <c r="AE288" t="str">
        <f t="shared" si="14"/>
        <v>2010-11</v>
      </c>
      <c r="AF288" t="str">
        <f t="shared" si="15"/>
        <v>2015-07</v>
      </c>
      <c r="AG288" s="36">
        <v>41436.0</v>
      </c>
      <c r="AH288" s="4">
        <v>0.760020320736</v>
      </c>
      <c r="AJ288" s="48" t="str">
        <f t="shared" si="16"/>
        <v>2013-06</v>
      </c>
      <c r="AL288" s="36">
        <v>41195.0</v>
      </c>
      <c r="AM288" s="4">
        <v>0.845851174606</v>
      </c>
      <c r="AN288" s="47">
        <v>42456.0</v>
      </c>
      <c r="AO288" s="49" t="str">
        <f t="shared" si="18"/>
        <v>2012-10</v>
      </c>
      <c r="AP288" t="str">
        <f t="shared" si="19"/>
        <v>2016-03</v>
      </c>
    </row>
    <row r="289">
      <c r="A289" s="36">
        <v>40518.0</v>
      </c>
      <c r="B289" s="34">
        <v>0.778169671638</v>
      </c>
      <c r="C289" s="36">
        <v>41565.0</v>
      </c>
      <c r="D289" t="str">
        <f t="shared" si="6"/>
        <v>2010-12</v>
      </c>
      <c r="E289" s="44" t="str">
        <f t="shared" si="7"/>
        <v>2013-10</v>
      </c>
      <c r="F289" s="63"/>
      <c r="G289" s="36">
        <v>41013.0</v>
      </c>
      <c r="H289" s="34">
        <v>0.783240564355</v>
      </c>
      <c r="J289" t="str">
        <f t="shared" si="8"/>
        <v>2012-04</v>
      </c>
      <c r="K289" s="44"/>
      <c r="L289" s="46">
        <v>41276.0</v>
      </c>
      <c r="M289" s="4">
        <v>0.745407446906</v>
      </c>
      <c r="N289" s="36">
        <v>42577.0</v>
      </c>
      <c r="O289" t="str">
        <f t="shared" si="10"/>
        <v>2013-01</v>
      </c>
      <c r="P289" t="str">
        <f t="shared" si="11"/>
        <v>2016-07</v>
      </c>
      <c r="Q289" s="36">
        <v>42216.0</v>
      </c>
      <c r="R289" s="4">
        <v>0.99770022863</v>
      </c>
      <c r="S289" s="36">
        <v>42272.0</v>
      </c>
      <c r="T289" t="str">
        <f t="shared" si="12"/>
        <v>2015-07</v>
      </c>
      <c r="U289" t="str">
        <f t="shared" si="13"/>
        <v>2015-09</v>
      </c>
      <c r="AB289" s="36">
        <v>40499.0</v>
      </c>
      <c r="AC289" s="4">
        <v>0.680482996905</v>
      </c>
      <c r="AD289" s="47">
        <v>42206.0</v>
      </c>
      <c r="AE289" t="str">
        <f t="shared" si="14"/>
        <v>2010-11</v>
      </c>
      <c r="AF289" t="str">
        <f t="shared" si="15"/>
        <v>2015-07</v>
      </c>
      <c r="AG289" s="36">
        <v>41442.0</v>
      </c>
      <c r="AH289" s="4">
        <v>0.706983835328</v>
      </c>
      <c r="AJ289" s="48" t="str">
        <f t="shared" si="16"/>
        <v>2013-06</v>
      </c>
      <c r="AL289" s="36">
        <v>41201.0</v>
      </c>
      <c r="AM289" s="4">
        <v>0.68320219969</v>
      </c>
      <c r="AN289" s="47">
        <v>42492.0</v>
      </c>
      <c r="AO289" s="49" t="str">
        <f t="shared" si="18"/>
        <v>2012-10</v>
      </c>
      <c r="AP289" t="str">
        <f t="shared" si="19"/>
        <v>2016-05</v>
      </c>
    </row>
    <row r="290">
      <c r="A290" s="36">
        <v>40523.0</v>
      </c>
      <c r="B290" s="34">
        <v>0.654948413438</v>
      </c>
      <c r="C290" s="36">
        <v>41590.0</v>
      </c>
      <c r="D290" t="str">
        <f t="shared" si="6"/>
        <v>2010-12</v>
      </c>
      <c r="E290" s="44" t="str">
        <f t="shared" si="7"/>
        <v>2013-11</v>
      </c>
      <c r="F290" s="63"/>
      <c r="G290" s="36">
        <v>41014.0</v>
      </c>
      <c r="H290" s="34">
        <v>0.53638845695</v>
      </c>
      <c r="J290" t="str">
        <f t="shared" si="8"/>
        <v>2012-04</v>
      </c>
      <c r="K290" s="44"/>
      <c r="L290" s="46">
        <v>41281.0</v>
      </c>
      <c r="M290" s="4">
        <v>0.806902089457</v>
      </c>
      <c r="N290" s="36">
        <v>42583.0</v>
      </c>
      <c r="O290" t="str">
        <f t="shared" si="10"/>
        <v>2013-01</v>
      </c>
      <c r="P290" t="str">
        <f t="shared" si="11"/>
        <v>2016-08</v>
      </c>
      <c r="Q290" s="36">
        <v>42221.0</v>
      </c>
      <c r="R290" s="4">
        <v>0.711177045934</v>
      </c>
      <c r="S290" s="36">
        <v>42279.0</v>
      </c>
      <c r="T290" t="str">
        <f t="shared" si="12"/>
        <v>2015-08</v>
      </c>
      <c r="U290" t="str">
        <f t="shared" si="13"/>
        <v>2015-10</v>
      </c>
      <c r="AB290" s="36">
        <v>40505.0</v>
      </c>
      <c r="AC290" s="4">
        <v>0.737755993564</v>
      </c>
      <c r="AD290" s="47">
        <v>42222.0</v>
      </c>
      <c r="AE290" t="str">
        <f t="shared" si="14"/>
        <v>2010-11</v>
      </c>
      <c r="AF290" t="str">
        <f t="shared" si="15"/>
        <v>2015-08</v>
      </c>
      <c r="AG290" s="36">
        <v>41443.0</v>
      </c>
      <c r="AH290" s="4">
        <v>0.487771129084</v>
      </c>
      <c r="AJ290" s="48" t="str">
        <f t="shared" si="16"/>
        <v>2013-06</v>
      </c>
      <c r="AL290" s="36">
        <v>41202.0</v>
      </c>
      <c r="AM290" s="4">
        <v>0.786725042649</v>
      </c>
      <c r="AN290" s="47">
        <v>42499.0</v>
      </c>
      <c r="AO290" s="49" t="str">
        <f t="shared" si="18"/>
        <v>2012-10</v>
      </c>
      <c r="AP290" t="str">
        <f t="shared" si="19"/>
        <v>2016-05</v>
      </c>
    </row>
    <row r="291">
      <c r="A291" s="36">
        <v>40524.0</v>
      </c>
      <c r="B291" s="34">
        <v>0.611692920885</v>
      </c>
      <c r="C291" s="36">
        <v>41620.0</v>
      </c>
      <c r="D291" t="str">
        <f t="shared" si="6"/>
        <v>2010-12</v>
      </c>
      <c r="E291" s="44" t="str">
        <f t="shared" si="7"/>
        <v>2013-12</v>
      </c>
      <c r="F291" s="63"/>
      <c r="G291" s="36">
        <v>41020.0</v>
      </c>
      <c r="H291" s="34">
        <v>0.756258436034</v>
      </c>
      <c r="J291" t="str">
        <f t="shared" si="8"/>
        <v>2012-04</v>
      </c>
      <c r="K291" s="44"/>
      <c r="L291" s="46">
        <v>41282.0</v>
      </c>
      <c r="M291" s="4">
        <v>0.677855709661</v>
      </c>
      <c r="N291" s="36">
        <v>42598.0</v>
      </c>
      <c r="O291" t="str">
        <f t="shared" si="10"/>
        <v>2013-01</v>
      </c>
      <c r="P291" t="str">
        <f t="shared" si="11"/>
        <v>2016-08</v>
      </c>
      <c r="Q291" s="36">
        <v>42222.0</v>
      </c>
      <c r="R291" s="4">
        <v>0.652266778194</v>
      </c>
      <c r="S291" s="36">
        <v>42288.0</v>
      </c>
      <c r="T291" t="str">
        <f t="shared" si="12"/>
        <v>2015-08</v>
      </c>
      <c r="U291" t="str">
        <f t="shared" si="13"/>
        <v>2015-10</v>
      </c>
      <c r="AB291" s="36">
        <v>40512.0</v>
      </c>
      <c r="AC291" s="4">
        <v>0.701611590587</v>
      </c>
      <c r="AD291" s="47">
        <v>42238.0</v>
      </c>
      <c r="AE291" t="str">
        <f t="shared" si="14"/>
        <v>2010-11</v>
      </c>
      <c r="AF291" t="str">
        <f t="shared" si="15"/>
        <v>2015-08</v>
      </c>
      <c r="AG291" s="36">
        <v>41449.0</v>
      </c>
      <c r="AH291" s="4">
        <v>0.656196276089</v>
      </c>
      <c r="AJ291" s="48" t="str">
        <f t="shared" si="16"/>
        <v>2013-06</v>
      </c>
      <c r="AL291" s="36">
        <v>41208.0</v>
      </c>
      <c r="AM291" s="4">
        <v>0.69551052802</v>
      </c>
      <c r="AN291" s="47">
        <v>42527.0</v>
      </c>
      <c r="AO291" s="49" t="str">
        <f t="shared" si="18"/>
        <v>2012-10</v>
      </c>
      <c r="AP291" t="str">
        <f t="shared" si="19"/>
        <v>2016-06</v>
      </c>
    </row>
    <row r="292">
      <c r="A292" s="36">
        <v>40530.0</v>
      </c>
      <c r="B292" s="34">
        <v>0.628675908738</v>
      </c>
      <c r="C292" s="36">
        <v>41627.0</v>
      </c>
      <c r="D292" t="str">
        <f t="shared" si="6"/>
        <v>2010-12</v>
      </c>
      <c r="E292" s="44" t="str">
        <f t="shared" si="7"/>
        <v>2013-12</v>
      </c>
      <c r="F292" s="63"/>
      <c r="G292" s="36">
        <v>41021.0</v>
      </c>
      <c r="H292" s="34">
        <v>0.698221780252</v>
      </c>
      <c r="J292" t="str">
        <f t="shared" si="8"/>
        <v>2012-04</v>
      </c>
      <c r="K292" s="44"/>
      <c r="L292" s="46">
        <v>41283.0</v>
      </c>
      <c r="M292" s="4">
        <v>0.716091941722</v>
      </c>
      <c r="N292" s="36">
        <v>42612.0</v>
      </c>
      <c r="O292" t="str">
        <f t="shared" si="10"/>
        <v>2013-01</v>
      </c>
      <c r="P292" t="str">
        <f t="shared" si="11"/>
        <v>2016-08</v>
      </c>
      <c r="Q292" s="36">
        <v>42223.0</v>
      </c>
      <c r="R292" s="4">
        <v>0.669920578509</v>
      </c>
      <c r="S292" s="36">
        <v>42304.0</v>
      </c>
      <c r="T292" t="str">
        <f t="shared" si="12"/>
        <v>2015-08</v>
      </c>
      <c r="U292" t="str">
        <f t="shared" si="13"/>
        <v>2015-10</v>
      </c>
      <c r="AB292" s="36">
        <v>40513.0</v>
      </c>
      <c r="AC292" s="4">
        <v>0.410511220959</v>
      </c>
      <c r="AD292" s="47">
        <v>42254.0</v>
      </c>
      <c r="AE292" t="str">
        <f t="shared" si="14"/>
        <v>2010-12</v>
      </c>
      <c r="AF292" t="str">
        <f t="shared" si="15"/>
        <v>2015-09</v>
      </c>
      <c r="AG292" s="36">
        <v>41450.0</v>
      </c>
      <c r="AH292" s="4">
        <v>0.726456152503</v>
      </c>
      <c r="AJ292" s="48" t="str">
        <f t="shared" si="16"/>
        <v>2013-06</v>
      </c>
      <c r="AL292" s="36">
        <v>41209.0</v>
      </c>
      <c r="AM292" s="4">
        <v>0.865344372993</v>
      </c>
      <c r="AN292" s="47">
        <v>42551.0</v>
      </c>
      <c r="AO292" s="49" t="str">
        <f t="shared" si="18"/>
        <v>2012-10</v>
      </c>
      <c r="AP292" t="str">
        <f t="shared" si="19"/>
        <v>2016-06</v>
      </c>
    </row>
    <row r="293">
      <c r="A293" s="36">
        <v>40531.0</v>
      </c>
      <c r="B293" s="34">
        <v>0.720434573408</v>
      </c>
      <c r="C293" s="36">
        <v>41662.0</v>
      </c>
      <c r="D293" t="str">
        <f t="shared" si="6"/>
        <v>2010-12</v>
      </c>
      <c r="E293" s="44" t="str">
        <f t="shared" si="7"/>
        <v>2014-01</v>
      </c>
      <c r="F293" s="63"/>
      <c r="G293" s="36">
        <v>41022.0</v>
      </c>
      <c r="H293" s="34">
        <v>0.649518503649</v>
      </c>
      <c r="J293" t="str">
        <f t="shared" si="8"/>
        <v>2012-04</v>
      </c>
      <c r="K293" s="44"/>
      <c r="L293" s="46">
        <v>41288.0</v>
      </c>
      <c r="M293" s="4">
        <v>0.584080416395</v>
      </c>
      <c r="N293" s="36">
        <v>42613.0</v>
      </c>
      <c r="O293" t="str">
        <f t="shared" si="10"/>
        <v>2013-01</v>
      </c>
      <c r="P293" t="str">
        <f t="shared" si="11"/>
        <v>2016-08</v>
      </c>
      <c r="Q293" s="36">
        <v>42228.0</v>
      </c>
      <c r="R293" s="4">
        <v>0.632075656039</v>
      </c>
      <c r="S293" s="36">
        <v>42304.0</v>
      </c>
      <c r="T293" t="str">
        <f t="shared" si="12"/>
        <v>2015-08</v>
      </c>
      <c r="U293" t="str">
        <f t="shared" si="13"/>
        <v>2015-10</v>
      </c>
      <c r="AB293" s="36">
        <v>40519.0</v>
      </c>
      <c r="AC293" s="4">
        <v>0.713731013603</v>
      </c>
      <c r="AD293" s="47">
        <v>42269.0</v>
      </c>
      <c r="AE293" t="str">
        <f t="shared" si="14"/>
        <v>2010-12</v>
      </c>
      <c r="AF293" t="str">
        <f t="shared" si="15"/>
        <v>2015-09</v>
      </c>
      <c r="AG293" s="36">
        <v>41456.0</v>
      </c>
      <c r="AH293" s="4">
        <v>0.721199657827</v>
      </c>
      <c r="AJ293" s="48" t="str">
        <f t="shared" si="16"/>
        <v>2013-07</v>
      </c>
      <c r="AL293" s="36">
        <v>41215.0</v>
      </c>
      <c r="AM293" s="4">
        <v>0.74066531553</v>
      </c>
      <c r="AN293" s="47">
        <v>42581.0</v>
      </c>
      <c r="AO293" s="49" t="str">
        <f t="shared" si="18"/>
        <v>2012-11</v>
      </c>
      <c r="AP293" t="str">
        <f t="shared" si="19"/>
        <v>2016-07</v>
      </c>
    </row>
    <row r="294">
      <c r="A294" s="36">
        <v>40532.0</v>
      </c>
      <c r="B294" s="34">
        <v>0.866755074595</v>
      </c>
      <c r="C294" s="36">
        <v>41689.0</v>
      </c>
      <c r="D294" t="str">
        <f t="shared" si="6"/>
        <v>2010-12</v>
      </c>
      <c r="E294" s="44" t="str">
        <f t="shared" si="7"/>
        <v>2014-02</v>
      </c>
      <c r="F294" s="63"/>
      <c r="G294" s="36">
        <v>41025.0</v>
      </c>
      <c r="H294" s="34">
        <v>0.387213315737</v>
      </c>
      <c r="J294" t="str">
        <f t="shared" si="8"/>
        <v>2012-04</v>
      </c>
      <c r="K294" s="44"/>
      <c r="L294" s="46">
        <v>41289.0</v>
      </c>
      <c r="M294" s="4">
        <v>0.61622801457</v>
      </c>
      <c r="N294" s="36">
        <v>42621.0</v>
      </c>
      <c r="O294" t="str">
        <f t="shared" si="10"/>
        <v>2013-01</v>
      </c>
      <c r="P294" t="str">
        <f t="shared" si="11"/>
        <v>2016-09</v>
      </c>
      <c r="Q294" s="36">
        <v>42229.0</v>
      </c>
      <c r="R294" s="4">
        <v>0.830368916178</v>
      </c>
      <c r="S294" s="36">
        <v>42292.0</v>
      </c>
      <c r="T294" t="str">
        <f t="shared" si="12"/>
        <v>2015-08</v>
      </c>
      <c r="U294" t="str">
        <f t="shared" si="13"/>
        <v>2015-10</v>
      </c>
      <c r="AB294" s="36">
        <v>40520.0</v>
      </c>
      <c r="AC294" s="4">
        <v>0.802728629771</v>
      </c>
      <c r="AD294" s="47">
        <v>42314.0</v>
      </c>
      <c r="AE294" t="str">
        <f t="shared" si="14"/>
        <v>2010-12</v>
      </c>
      <c r="AF294" t="str">
        <f t="shared" si="15"/>
        <v>2015-11</v>
      </c>
      <c r="AG294" s="36">
        <v>41457.0</v>
      </c>
      <c r="AH294" s="4">
        <v>0.69660279641</v>
      </c>
      <c r="AJ294" s="48" t="str">
        <f t="shared" si="16"/>
        <v>2013-07</v>
      </c>
      <c r="AL294" s="36">
        <v>41216.0</v>
      </c>
      <c r="AM294" s="4">
        <v>0.72874457413</v>
      </c>
      <c r="AN294" s="47">
        <v>42615.0</v>
      </c>
      <c r="AO294" s="49" t="str">
        <f t="shared" si="18"/>
        <v>2012-11</v>
      </c>
      <c r="AP294" t="str">
        <f t="shared" si="19"/>
        <v>2016-09</v>
      </c>
    </row>
    <row r="295">
      <c r="A295" s="36">
        <v>40537.0</v>
      </c>
      <c r="B295" s="34">
        <v>0.803240248519</v>
      </c>
      <c r="C295" s="36">
        <v>41760.0</v>
      </c>
      <c r="D295" t="str">
        <f t="shared" si="6"/>
        <v>2010-12</v>
      </c>
      <c r="E295" s="44" t="str">
        <f t="shared" si="7"/>
        <v>2014-05</v>
      </c>
      <c r="F295" s="63"/>
      <c r="G295" s="36">
        <v>41026.0</v>
      </c>
      <c r="H295" s="34">
        <v>0.612661843201</v>
      </c>
      <c r="J295" t="str">
        <f t="shared" si="8"/>
        <v>2012-04</v>
      </c>
      <c r="K295" s="44"/>
      <c r="L295" s="46">
        <v>41290.0</v>
      </c>
      <c r="M295" s="4">
        <v>0.677788955917</v>
      </c>
      <c r="N295" s="36">
        <v>42628.0</v>
      </c>
      <c r="O295" t="str">
        <f t="shared" si="10"/>
        <v>2013-01</v>
      </c>
      <c r="P295" t="str">
        <f t="shared" si="11"/>
        <v>2016-09</v>
      </c>
      <c r="Q295" s="36">
        <v>42230.0</v>
      </c>
      <c r="R295" s="4">
        <v>0.606740981052</v>
      </c>
      <c r="S295" s="36">
        <v>42300.0</v>
      </c>
      <c r="T295" t="str">
        <f t="shared" si="12"/>
        <v>2015-08</v>
      </c>
      <c r="U295" t="str">
        <f t="shared" si="13"/>
        <v>2015-10</v>
      </c>
      <c r="AB295" s="36">
        <v>40526.0</v>
      </c>
      <c r="AC295" s="4">
        <v>0.744402614325</v>
      </c>
      <c r="AD295" s="47">
        <v>42421.0</v>
      </c>
      <c r="AE295" t="str">
        <f t="shared" si="14"/>
        <v>2010-12</v>
      </c>
      <c r="AF295" t="str">
        <f t="shared" si="15"/>
        <v>2016-02</v>
      </c>
      <c r="AG295" s="36">
        <v>41463.0</v>
      </c>
      <c r="AH295" s="4">
        <v>0.718277830381</v>
      </c>
      <c r="AJ295" s="48" t="str">
        <f t="shared" si="16"/>
        <v>2013-07</v>
      </c>
      <c r="AL295" s="36">
        <v>41222.0</v>
      </c>
      <c r="AM295" s="4">
        <v>0.769827704033</v>
      </c>
      <c r="AN295" s="47">
        <v>42620.0</v>
      </c>
      <c r="AO295" s="49" t="str">
        <f t="shared" si="18"/>
        <v>2012-11</v>
      </c>
      <c r="AP295" t="str">
        <f t="shared" si="19"/>
        <v>2016-09</v>
      </c>
    </row>
    <row r="296">
      <c r="A296" s="36">
        <v>40538.0</v>
      </c>
      <c r="B296" s="34">
        <v>0.698656439507</v>
      </c>
      <c r="C296" s="36">
        <v>41761.0</v>
      </c>
      <c r="D296" t="str">
        <f t="shared" si="6"/>
        <v>2010-12</v>
      </c>
      <c r="E296" s="44" t="str">
        <f t="shared" si="7"/>
        <v>2014-05</v>
      </c>
      <c r="F296" s="63"/>
      <c r="G296" s="36">
        <v>41027.0</v>
      </c>
      <c r="H296" s="34">
        <v>0.646380774978</v>
      </c>
      <c r="J296" t="str">
        <f t="shared" si="8"/>
        <v>2012-04</v>
      </c>
      <c r="K296" s="44"/>
      <c r="L296" s="46">
        <v>41297.0</v>
      </c>
      <c r="M296" s="4">
        <v>0.670135727181</v>
      </c>
      <c r="N296" s="36">
        <v>42650.0</v>
      </c>
      <c r="O296" t="str">
        <f t="shared" si="10"/>
        <v>2013-01</v>
      </c>
      <c r="P296" t="str">
        <f t="shared" si="11"/>
        <v>2016-10</v>
      </c>
      <c r="Q296" s="36">
        <v>42235.0</v>
      </c>
      <c r="R296" s="4">
        <v>0.523965161001</v>
      </c>
      <c r="S296" s="36">
        <v>42300.0</v>
      </c>
      <c r="T296" t="str">
        <f t="shared" si="12"/>
        <v>2015-08</v>
      </c>
      <c r="U296" t="str">
        <f t="shared" si="13"/>
        <v>2015-10</v>
      </c>
      <c r="AB296" s="36">
        <v>40527.0</v>
      </c>
      <c r="AC296" s="4">
        <v>0.797890415829</v>
      </c>
      <c r="AD296" s="47">
        <v>42443.0</v>
      </c>
      <c r="AE296" t="str">
        <f t="shared" si="14"/>
        <v>2010-12</v>
      </c>
      <c r="AF296" t="str">
        <f t="shared" si="15"/>
        <v>2016-03</v>
      </c>
      <c r="AG296" s="36">
        <v>41470.0</v>
      </c>
      <c r="AH296" s="4">
        <v>0.649868956951</v>
      </c>
      <c r="AJ296" s="48" t="str">
        <f t="shared" si="16"/>
        <v>2013-07</v>
      </c>
      <c r="AL296" s="36">
        <v>41223.0</v>
      </c>
      <c r="AM296" s="4">
        <v>0.857968779405</v>
      </c>
      <c r="AN296" s="47">
        <v>42646.0</v>
      </c>
      <c r="AO296" s="49" t="str">
        <f t="shared" si="18"/>
        <v>2012-11</v>
      </c>
      <c r="AP296" t="str">
        <f t="shared" si="19"/>
        <v>2016-10</v>
      </c>
    </row>
    <row r="297">
      <c r="A297" s="36">
        <v>40539.0</v>
      </c>
      <c r="B297" s="34">
        <v>0.440444985151</v>
      </c>
      <c r="C297" s="36">
        <v>41799.0</v>
      </c>
      <c r="D297" t="str">
        <f t="shared" si="6"/>
        <v>2010-12</v>
      </c>
      <c r="E297" s="44" t="str">
        <f t="shared" si="7"/>
        <v>2014-06</v>
      </c>
      <c r="F297" s="63"/>
      <c r="G297" s="36">
        <v>41028.0</v>
      </c>
      <c r="H297" s="34">
        <v>0.726583222174</v>
      </c>
      <c r="J297" t="str">
        <f t="shared" si="8"/>
        <v>2012-04</v>
      </c>
      <c r="K297" s="44"/>
      <c r="L297" s="46">
        <v>41304.0</v>
      </c>
      <c r="M297" s="4">
        <v>0.647353162122</v>
      </c>
      <c r="N297" s="36">
        <v>42675.0</v>
      </c>
      <c r="O297" t="str">
        <f t="shared" si="10"/>
        <v>2013-01</v>
      </c>
      <c r="P297" t="str">
        <f t="shared" si="11"/>
        <v>2016-11</v>
      </c>
      <c r="Q297" s="36">
        <v>42236.0</v>
      </c>
      <c r="R297" s="4">
        <v>0.697633076268</v>
      </c>
      <c r="S297" s="36">
        <v>42304.0</v>
      </c>
      <c r="T297" t="str">
        <f t="shared" si="12"/>
        <v>2015-08</v>
      </c>
      <c r="U297" t="str">
        <f t="shared" si="13"/>
        <v>2015-10</v>
      </c>
      <c r="AB297" s="36">
        <v>40533.0</v>
      </c>
      <c r="AC297" s="4">
        <v>0.696211242375</v>
      </c>
      <c r="AD297" s="47">
        <v>42458.0</v>
      </c>
      <c r="AE297" t="str">
        <f t="shared" si="14"/>
        <v>2010-12</v>
      </c>
      <c r="AF297" t="str">
        <f t="shared" si="15"/>
        <v>2016-03</v>
      </c>
      <c r="AG297" s="36">
        <v>41471.0</v>
      </c>
      <c r="AH297" s="4">
        <v>0.613514216152</v>
      </c>
      <c r="AJ297" s="48" t="str">
        <f t="shared" si="16"/>
        <v>2013-07</v>
      </c>
      <c r="AL297" s="36">
        <v>41229.0</v>
      </c>
      <c r="AM297" s="4">
        <v>0.704918090061</v>
      </c>
      <c r="AN297" s="47">
        <v>42670.0</v>
      </c>
      <c r="AO297" s="49" t="str">
        <f t="shared" si="18"/>
        <v>2012-11</v>
      </c>
      <c r="AP297" t="str">
        <f t="shared" si="19"/>
        <v>2016-10</v>
      </c>
    </row>
    <row r="298">
      <c r="A298" s="36">
        <v>40544.0</v>
      </c>
      <c r="B298" s="34">
        <v>0.728155974175</v>
      </c>
      <c r="C298" s="36">
        <v>41851.0</v>
      </c>
      <c r="D298" t="str">
        <f t="shared" si="6"/>
        <v>2011-01</v>
      </c>
      <c r="E298" s="44" t="str">
        <f t="shared" si="7"/>
        <v>2014-07</v>
      </c>
      <c r="F298" s="63"/>
      <c r="G298" s="36">
        <v>41032.0</v>
      </c>
      <c r="H298" s="34">
        <v>0.863947641802</v>
      </c>
      <c r="J298" t="str">
        <f t="shared" si="8"/>
        <v>2012-05</v>
      </c>
      <c r="K298" s="44"/>
      <c r="L298" s="46">
        <v>41305.0</v>
      </c>
      <c r="M298" s="4">
        <v>0.661042613676</v>
      </c>
      <c r="N298" s="36">
        <v>42580.0</v>
      </c>
      <c r="O298" t="str">
        <f t="shared" si="10"/>
        <v>2013-01</v>
      </c>
      <c r="P298" t="str">
        <f t="shared" si="11"/>
        <v>2016-07</v>
      </c>
      <c r="Q298" s="36">
        <v>42241.0</v>
      </c>
      <c r="R298" s="4">
        <v>0.775722758584</v>
      </c>
      <c r="S298" s="36">
        <v>42304.0</v>
      </c>
      <c r="T298" t="str">
        <f t="shared" si="12"/>
        <v>2015-08</v>
      </c>
      <c r="U298" t="str">
        <f t="shared" si="13"/>
        <v>2015-10</v>
      </c>
      <c r="AB298" s="36">
        <v>40534.0</v>
      </c>
      <c r="AC298" s="4">
        <v>0.681224355924</v>
      </c>
      <c r="AD298" s="47">
        <v>42700.0</v>
      </c>
      <c r="AE298" t="str">
        <f t="shared" si="14"/>
        <v>2010-12</v>
      </c>
      <c r="AF298" t="str">
        <f t="shared" si="15"/>
        <v>2016-11</v>
      </c>
      <c r="AG298" s="36">
        <v>41477.0</v>
      </c>
      <c r="AH298" s="4">
        <v>0.703941458459</v>
      </c>
      <c r="AJ298" s="48" t="str">
        <f t="shared" si="16"/>
        <v>2013-07</v>
      </c>
      <c r="AL298" s="36">
        <v>41236.0</v>
      </c>
      <c r="AM298" s="4">
        <v>0.769202053055</v>
      </c>
      <c r="AN298" s="47">
        <v>42695.0</v>
      </c>
      <c r="AO298" s="49" t="str">
        <f t="shared" si="18"/>
        <v>2012-11</v>
      </c>
      <c r="AP298" t="str">
        <f t="shared" si="19"/>
        <v>2016-11</v>
      </c>
    </row>
    <row r="299">
      <c r="A299" s="36">
        <v>40545.0</v>
      </c>
      <c r="B299" s="34">
        <v>0.705461191241</v>
      </c>
      <c r="C299" s="36">
        <v>41870.0</v>
      </c>
      <c r="D299" t="str">
        <f t="shared" si="6"/>
        <v>2011-01</v>
      </c>
      <c r="E299" s="44" t="str">
        <f t="shared" si="7"/>
        <v>2014-08</v>
      </c>
      <c r="F299" s="63"/>
      <c r="G299" s="36">
        <v>41033.0</v>
      </c>
      <c r="H299" s="34">
        <v>0.826716793632</v>
      </c>
      <c r="J299" t="str">
        <f t="shared" si="8"/>
        <v>2012-05</v>
      </c>
      <c r="K299" s="44"/>
      <c r="L299" s="46">
        <v>41311.0</v>
      </c>
      <c r="M299" s="4">
        <v>0.692918369693</v>
      </c>
      <c r="N299" s="36">
        <v>42583.0</v>
      </c>
      <c r="O299" t="str">
        <f t="shared" si="10"/>
        <v>2013-02</v>
      </c>
      <c r="P299" t="str">
        <f t="shared" si="11"/>
        <v>2016-08</v>
      </c>
      <c r="Q299" s="36">
        <v>42242.0</v>
      </c>
      <c r="R299" s="4">
        <v>0.678408161584</v>
      </c>
      <c r="S299" s="36">
        <v>42306.0</v>
      </c>
      <c r="T299" t="str">
        <f t="shared" si="12"/>
        <v>2015-08</v>
      </c>
      <c r="U299" t="str">
        <f t="shared" si="13"/>
        <v>2015-10</v>
      </c>
      <c r="AB299" s="36">
        <v>40540.0</v>
      </c>
      <c r="AC299" s="4">
        <v>0.686864841467</v>
      </c>
      <c r="AD299" s="47">
        <v>42246.0</v>
      </c>
      <c r="AE299" t="str">
        <f t="shared" si="14"/>
        <v>2010-12</v>
      </c>
      <c r="AF299" t="str">
        <f t="shared" si="15"/>
        <v>2015-08</v>
      </c>
      <c r="AG299" s="36">
        <v>41478.0</v>
      </c>
      <c r="AH299" s="4">
        <v>0.687075274114</v>
      </c>
      <c r="AJ299" s="48" t="str">
        <f t="shared" si="16"/>
        <v>2013-07</v>
      </c>
      <c r="AL299" s="36">
        <v>41237.0</v>
      </c>
      <c r="AM299" s="4">
        <v>0.793704966948</v>
      </c>
      <c r="AN299" s="47">
        <v>42717.0</v>
      </c>
      <c r="AO299" s="49" t="str">
        <f t="shared" si="18"/>
        <v>2012-11</v>
      </c>
      <c r="AP299" t="str">
        <f t="shared" si="19"/>
        <v>2016-12</v>
      </c>
    </row>
    <row r="300">
      <c r="A300" s="36">
        <v>40552.0</v>
      </c>
      <c r="B300" s="34">
        <v>0.708622553237</v>
      </c>
      <c r="C300" s="36">
        <v>41898.0</v>
      </c>
      <c r="D300" t="str">
        <f t="shared" si="6"/>
        <v>2011-01</v>
      </c>
      <c r="E300" s="44" t="str">
        <f t="shared" si="7"/>
        <v>2014-09</v>
      </c>
      <c r="F300" s="63"/>
      <c r="G300" s="36">
        <v>41034.0</v>
      </c>
      <c r="H300" s="34">
        <v>0.761121069412</v>
      </c>
      <c r="J300" t="str">
        <f t="shared" si="8"/>
        <v>2012-05</v>
      </c>
      <c r="K300" s="44"/>
      <c r="L300" s="46">
        <v>41312.0</v>
      </c>
      <c r="M300" s="4">
        <v>0.66684785372</v>
      </c>
      <c r="N300" s="36">
        <v>42590.0</v>
      </c>
      <c r="O300" t="str">
        <f t="shared" si="10"/>
        <v>2013-02</v>
      </c>
      <c r="P300" t="str">
        <f t="shared" si="11"/>
        <v>2016-08</v>
      </c>
      <c r="Q300" s="36">
        <v>42243.0</v>
      </c>
      <c r="R300" s="4">
        <v>0.647783265744</v>
      </c>
      <c r="S300" s="36">
        <v>42306.0</v>
      </c>
      <c r="T300" t="str">
        <f t="shared" si="12"/>
        <v>2015-08</v>
      </c>
      <c r="U300" t="str">
        <f t="shared" si="13"/>
        <v>2015-10</v>
      </c>
      <c r="AB300" s="36">
        <v>40541.0</v>
      </c>
      <c r="AC300" s="4">
        <v>0.651622153032</v>
      </c>
      <c r="AD300" s="47">
        <v>42217.0</v>
      </c>
      <c r="AE300" t="str">
        <f t="shared" si="14"/>
        <v>2010-12</v>
      </c>
      <c r="AF300" t="str">
        <f t="shared" si="15"/>
        <v>2015-08</v>
      </c>
      <c r="AG300" s="36">
        <v>41484.0</v>
      </c>
      <c r="AH300" s="4">
        <v>0.653295357204</v>
      </c>
      <c r="AJ300" s="48" t="str">
        <f t="shared" si="16"/>
        <v>2013-07</v>
      </c>
      <c r="AL300" s="36">
        <v>41243.0</v>
      </c>
      <c r="AM300" s="4">
        <v>0.75845298679</v>
      </c>
      <c r="AN300" s="47">
        <v>42747.0</v>
      </c>
      <c r="AO300" s="49" t="str">
        <f t="shared" si="18"/>
        <v>2012-11</v>
      </c>
      <c r="AP300" t="str">
        <f t="shared" si="19"/>
        <v>2017-01</v>
      </c>
    </row>
    <row r="301">
      <c r="A301" s="36">
        <v>40553.0</v>
      </c>
      <c r="B301" s="34">
        <v>0.773413912248</v>
      </c>
      <c r="C301" s="36">
        <v>41935.0</v>
      </c>
      <c r="D301" t="str">
        <f t="shared" si="6"/>
        <v>2011-01</v>
      </c>
      <c r="E301" s="44" t="str">
        <f t="shared" si="7"/>
        <v>2014-10</v>
      </c>
      <c r="F301" s="63"/>
      <c r="G301" s="36">
        <v>41035.0</v>
      </c>
      <c r="H301" s="34">
        <v>0.832012591304</v>
      </c>
      <c r="J301" t="str">
        <f t="shared" si="8"/>
        <v>2012-05</v>
      </c>
      <c r="K301" s="44"/>
      <c r="L301" s="46">
        <v>41318.0</v>
      </c>
      <c r="M301" s="4">
        <v>0.679677560203</v>
      </c>
      <c r="N301" s="36">
        <v>42598.0</v>
      </c>
      <c r="O301" t="str">
        <f t="shared" si="10"/>
        <v>2013-02</v>
      </c>
      <c r="P301" t="str">
        <f t="shared" si="11"/>
        <v>2016-08</v>
      </c>
      <c r="Q301" s="36">
        <v>42244.0</v>
      </c>
      <c r="R301" s="4">
        <v>0.458630658435</v>
      </c>
      <c r="S301" s="36">
        <v>42308.0</v>
      </c>
      <c r="T301" t="str">
        <f t="shared" si="12"/>
        <v>2015-08</v>
      </c>
      <c r="U301" t="str">
        <f t="shared" si="13"/>
        <v>2015-10</v>
      </c>
      <c r="AB301" s="36">
        <v>40547.0</v>
      </c>
      <c r="AC301" s="4">
        <v>0.64686533458</v>
      </c>
      <c r="AD301" s="47">
        <v>42222.0</v>
      </c>
      <c r="AE301" t="str">
        <f t="shared" si="14"/>
        <v>2011-01</v>
      </c>
      <c r="AF301" t="str">
        <f t="shared" si="15"/>
        <v>2015-08</v>
      </c>
      <c r="AG301" s="36">
        <v>41485.0</v>
      </c>
      <c r="AH301" s="4">
        <v>0.748580896726</v>
      </c>
      <c r="AJ301" s="48" t="str">
        <f t="shared" si="16"/>
        <v>2013-07</v>
      </c>
      <c r="AL301" s="36">
        <v>41244.0</v>
      </c>
      <c r="AM301" s="4">
        <v>0.841358662159</v>
      </c>
      <c r="AN301" s="47">
        <v>42772.0</v>
      </c>
      <c r="AO301" s="49" t="str">
        <f t="shared" si="18"/>
        <v>2012-12</v>
      </c>
      <c r="AP301" t="str">
        <f t="shared" si="19"/>
        <v>2017-02</v>
      </c>
    </row>
    <row r="302">
      <c r="A302" s="36">
        <v>40559.0</v>
      </c>
      <c r="B302" s="34">
        <v>0.597660453897</v>
      </c>
      <c r="C302" s="36">
        <v>41990.0</v>
      </c>
      <c r="D302" t="str">
        <f t="shared" si="6"/>
        <v>2011-01</v>
      </c>
      <c r="E302" s="44" t="str">
        <f t="shared" si="7"/>
        <v>2014-12</v>
      </c>
      <c r="F302" s="63"/>
      <c r="G302" s="36">
        <v>41036.0</v>
      </c>
      <c r="H302" s="34">
        <v>0.681193779619</v>
      </c>
      <c r="J302" t="str">
        <f t="shared" si="8"/>
        <v>2012-05</v>
      </c>
      <c r="K302" s="44"/>
      <c r="L302" s="46">
        <v>41319.0</v>
      </c>
      <c r="M302" s="4">
        <v>0.568936068107</v>
      </c>
      <c r="N302" s="36">
        <v>42621.0</v>
      </c>
      <c r="O302" t="str">
        <f t="shared" si="10"/>
        <v>2013-02</v>
      </c>
      <c r="P302" t="str">
        <f t="shared" si="11"/>
        <v>2016-09</v>
      </c>
      <c r="Q302" s="36">
        <v>42247.0</v>
      </c>
      <c r="R302" s="4">
        <v>0.81081630126</v>
      </c>
      <c r="S302" s="36">
        <v>42313.0</v>
      </c>
      <c r="T302" t="str">
        <f t="shared" si="12"/>
        <v>2015-08</v>
      </c>
      <c r="U302" t="str">
        <f t="shared" si="13"/>
        <v>2015-11</v>
      </c>
      <c r="AB302" s="36">
        <v>40548.0</v>
      </c>
      <c r="AC302" s="4">
        <v>0.683081856469</v>
      </c>
      <c r="AD302" s="47">
        <v>42267.0</v>
      </c>
      <c r="AE302" t="str">
        <f t="shared" si="14"/>
        <v>2011-01</v>
      </c>
      <c r="AF302" t="str">
        <f t="shared" si="15"/>
        <v>2015-09</v>
      </c>
      <c r="AG302" s="36">
        <v>41491.0</v>
      </c>
      <c r="AH302" s="4">
        <v>0.69252854358</v>
      </c>
      <c r="AJ302" s="48" t="str">
        <f t="shared" si="16"/>
        <v>2013-08</v>
      </c>
      <c r="AL302" s="36">
        <v>41250.0</v>
      </c>
      <c r="AM302" s="4">
        <v>0.740260996052</v>
      </c>
      <c r="AN302" s="47">
        <v>42800.0</v>
      </c>
      <c r="AO302" s="49" t="str">
        <f t="shared" si="18"/>
        <v>2012-12</v>
      </c>
      <c r="AP302" t="str">
        <f t="shared" si="19"/>
        <v>2017-03</v>
      </c>
    </row>
    <row r="303">
      <c r="A303" s="36">
        <v>40560.0</v>
      </c>
      <c r="B303" s="34">
        <v>0.584421219986</v>
      </c>
      <c r="C303" s="36">
        <v>41997.0</v>
      </c>
      <c r="D303" t="str">
        <f t="shared" si="6"/>
        <v>2011-01</v>
      </c>
      <c r="E303" s="44" t="str">
        <f t="shared" si="7"/>
        <v>2014-12</v>
      </c>
      <c r="F303" s="63"/>
      <c r="G303" s="36">
        <v>41039.0</v>
      </c>
      <c r="H303" s="34">
        <v>0.664540365461</v>
      </c>
      <c r="J303" t="str">
        <f t="shared" si="8"/>
        <v>2012-05</v>
      </c>
      <c r="K303" s="44"/>
      <c r="L303" s="46">
        <v>41325.0</v>
      </c>
      <c r="M303" s="4">
        <v>0.740968036226</v>
      </c>
      <c r="N303" s="36">
        <v>42626.0</v>
      </c>
      <c r="O303" t="str">
        <f t="shared" si="10"/>
        <v>2013-02</v>
      </c>
      <c r="P303" t="str">
        <f t="shared" si="11"/>
        <v>2016-09</v>
      </c>
      <c r="Q303" s="36">
        <v>42248.0</v>
      </c>
      <c r="R303" s="4">
        <v>0.792757676112</v>
      </c>
      <c r="S303" s="36">
        <v>42313.0</v>
      </c>
      <c r="T303" t="str">
        <f t="shared" si="12"/>
        <v>2015-09</v>
      </c>
      <c r="U303" t="str">
        <f t="shared" si="13"/>
        <v>2015-11</v>
      </c>
      <c r="AB303" s="36">
        <v>40554.0</v>
      </c>
      <c r="AC303" s="4">
        <v>0.762571517765</v>
      </c>
      <c r="AD303" s="47">
        <v>42284.0</v>
      </c>
      <c r="AE303" t="str">
        <f t="shared" si="14"/>
        <v>2011-01</v>
      </c>
      <c r="AF303" t="str">
        <f t="shared" si="15"/>
        <v>2015-10</v>
      </c>
      <c r="AG303" s="36">
        <v>41492.0</v>
      </c>
      <c r="AH303" s="4">
        <v>0.736821140603</v>
      </c>
      <c r="AJ303" s="48" t="str">
        <f t="shared" si="16"/>
        <v>2013-08</v>
      </c>
      <c r="AL303" s="36">
        <v>41251.0</v>
      </c>
      <c r="AM303" s="4">
        <v>0.610552148235</v>
      </c>
      <c r="AN303" s="47">
        <v>42830.0</v>
      </c>
      <c r="AO303" s="49" t="str">
        <f t="shared" si="18"/>
        <v>2012-12</v>
      </c>
      <c r="AP303" t="str">
        <f t="shared" si="19"/>
        <v>2017-04</v>
      </c>
    </row>
    <row r="304">
      <c r="A304" s="36">
        <v>40566.0</v>
      </c>
      <c r="B304" s="34">
        <v>0.673186472295</v>
      </c>
      <c r="C304" s="36">
        <v>42030.0</v>
      </c>
      <c r="D304" t="str">
        <f t="shared" si="6"/>
        <v>2011-01</v>
      </c>
      <c r="E304" s="44" t="str">
        <f t="shared" si="7"/>
        <v>2015-01</v>
      </c>
      <c r="F304" s="63"/>
      <c r="G304" s="36">
        <v>41040.0</v>
      </c>
      <c r="H304" s="34">
        <v>0.742787033522</v>
      </c>
      <c r="J304" t="str">
        <f t="shared" si="8"/>
        <v>2012-05</v>
      </c>
      <c r="K304" s="44"/>
      <c r="L304" s="46">
        <v>41332.0</v>
      </c>
      <c r="M304" s="4">
        <v>0.67830375643</v>
      </c>
      <c r="N304" s="36">
        <v>42633.0</v>
      </c>
      <c r="O304" t="str">
        <f t="shared" si="10"/>
        <v>2013-02</v>
      </c>
      <c r="P304" t="str">
        <f t="shared" si="11"/>
        <v>2016-09</v>
      </c>
      <c r="Q304" s="36">
        <v>42249.0</v>
      </c>
      <c r="R304" s="4">
        <v>0.732400495723</v>
      </c>
      <c r="S304" s="36">
        <v>42314.0</v>
      </c>
      <c r="T304" t="str">
        <f t="shared" si="12"/>
        <v>2015-09</v>
      </c>
      <c r="U304" t="str">
        <f t="shared" si="13"/>
        <v>2015-11</v>
      </c>
      <c r="AB304" s="36">
        <v>40555.0</v>
      </c>
      <c r="AC304" s="4">
        <v>0.68458475839</v>
      </c>
      <c r="AD304" s="47">
        <v>42296.0</v>
      </c>
      <c r="AE304" t="str">
        <f t="shared" si="14"/>
        <v>2011-01</v>
      </c>
      <c r="AF304" t="str">
        <f t="shared" si="15"/>
        <v>2015-10</v>
      </c>
      <c r="AG304" s="36">
        <v>41498.0</v>
      </c>
      <c r="AH304" s="4">
        <v>0.691985485585</v>
      </c>
      <c r="AJ304" s="48" t="str">
        <f t="shared" si="16"/>
        <v>2013-08</v>
      </c>
      <c r="AL304" s="36">
        <v>41257.0</v>
      </c>
      <c r="AM304" s="4">
        <v>0.810503123956</v>
      </c>
      <c r="AN304" s="47">
        <v>42856.0</v>
      </c>
      <c r="AO304" s="49" t="str">
        <f t="shared" si="18"/>
        <v>2012-12</v>
      </c>
      <c r="AP304" t="str">
        <f t="shared" si="19"/>
        <v>2017-05</v>
      </c>
    </row>
    <row r="305">
      <c r="A305" s="36">
        <v>40573.0</v>
      </c>
      <c r="B305" s="34">
        <v>0.496510700166</v>
      </c>
      <c r="C305" s="36">
        <v>42075.0</v>
      </c>
      <c r="D305" t="str">
        <f t="shared" si="6"/>
        <v>2011-01</v>
      </c>
      <c r="E305" s="44" t="str">
        <f t="shared" si="7"/>
        <v>2015-03</v>
      </c>
      <c r="F305" s="63"/>
      <c r="G305" s="36">
        <v>41041.0</v>
      </c>
      <c r="H305" s="34">
        <v>0.633566367418</v>
      </c>
      <c r="J305" t="str">
        <f t="shared" si="8"/>
        <v>2012-05</v>
      </c>
      <c r="K305" s="44"/>
      <c r="L305" s="46">
        <v>41333.0</v>
      </c>
      <c r="M305" s="4">
        <v>0.709047552415</v>
      </c>
      <c r="N305" s="36">
        <v>42641.0</v>
      </c>
      <c r="O305" t="str">
        <f t="shared" si="10"/>
        <v>2013-02</v>
      </c>
      <c r="P305" t="str">
        <f t="shared" si="11"/>
        <v>2016-09</v>
      </c>
      <c r="Q305" s="36">
        <v>42250.0</v>
      </c>
      <c r="R305" s="4">
        <v>0.693415000168</v>
      </c>
      <c r="S305" s="36">
        <v>42320.0</v>
      </c>
      <c r="T305" t="str">
        <f t="shared" si="12"/>
        <v>2015-09</v>
      </c>
      <c r="U305" t="str">
        <f t="shared" si="13"/>
        <v>2015-11</v>
      </c>
      <c r="AB305" s="36">
        <v>40561.0</v>
      </c>
      <c r="AC305" s="4">
        <v>0.676631546457</v>
      </c>
      <c r="AD305" s="47">
        <v>42302.0</v>
      </c>
      <c r="AE305" t="str">
        <f t="shared" si="14"/>
        <v>2011-01</v>
      </c>
      <c r="AF305" t="str">
        <f t="shared" si="15"/>
        <v>2015-10</v>
      </c>
      <c r="AG305" s="36">
        <v>41499.0</v>
      </c>
      <c r="AH305" s="4">
        <v>0.826243279232</v>
      </c>
      <c r="AJ305" s="48" t="str">
        <f t="shared" si="16"/>
        <v>2013-08</v>
      </c>
      <c r="AL305" s="36">
        <v>41264.0</v>
      </c>
      <c r="AM305" s="4">
        <v>0.703395955261</v>
      </c>
      <c r="AN305" s="47">
        <v>42884.0</v>
      </c>
      <c r="AO305" s="49" t="str">
        <f t="shared" si="18"/>
        <v>2012-12</v>
      </c>
      <c r="AP305" t="str">
        <f t="shared" si="19"/>
        <v>2017-05</v>
      </c>
    </row>
    <row r="306">
      <c r="A306" s="36">
        <v>40574.0</v>
      </c>
      <c r="B306" s="34">
        <v>0.672339219081</v>
      </c>
      <c r="C306" s="36">
        <v>42086.0</v>
      </c>
      <c r="D306" t="str">
        <f t="shared" si="6"/>
        <v>2011-01</v>
      </c>
      <c r="E306" s="44" t="str">
        <f t="shared" si="7"/>
        <v>2015-03</v>
      </c>
      <c r="F306" s="63"/>
      <c r="G306" s="36">
        <v>41042.0</v>
      </c>
      <c r="H306" s="34">
        <v>0.73503588256</v>
      </c>
      <c r="J306" t="str">
        <f t="shared" si="8"/>
        <v>2012-05</v>
      </c>
      <c r="K306" s="44"/>
      <c r="L306" s="46">
        <v>41339.0</v>
      </c>
      <c r="M306" s="4">
        <v>0.459254519693</v>
      </c>
      <c r="N306" s="36">
        <v>42649.0</v>
      </c>
      <c r="O306" t="str">
        <f t="shared" si="10"/>
        <v>2013-03</v>
      </c>
      <c r="P306" t="str">
        <f t="shared" si="11"/>
        <v>2016-10</v>
      </c>
      <c r="Q306" s="36">
        <v>42255.0</v>
      </c>
      <c r="R306" s="4">
        <v>0.717367823866</v>
      </c>
      <c r="S306" s="36">
        <v>42331.0</v>
      </c>
      <c r="T306" t="str">
        <f t="shared" si="12"/>
        <v>2015-09</v>
      </c>
      <c r="U306" t="str">
        <f t="shared" si="13"/>
        <v>2015-11</v>
      </c>
      <c r="AB306" s="36">
        <v>40562.0</v>
      </c>
      <c r="AC306" s="4">
        <v>0.572538617469</v>
      </c>
      <c r="AD306" s="47">
        <v>42314.0</v>
      </c>
      <c r="AE306" t="str">
        <f t="shared" si="14"/>
        <v>2011-01</v>
      </c>
      <c r="AF306" t="str">
        <f t="shared" si="15"/>
        <v>2015-11</v>
      </c>
      <c r="AG306" s="36">
        <v>41505.0</v>
      </c>
      <c r="AH306" s="4">
        <v>0.708376460871</v>
      </c>
      <c r="AJ306" s="48" t="str">
        <f t="shared" si="16"/>
        <v>2013-08</v>
      </c>
      <c r="AL306" s="36">
        <v>41265.0</v>
      </c>
      <c r="AM306" s="4">
        <v>0.767879150449</v>
      </c>
      <c r="AN306" s="47">
        <v>42893.0</v>
      </c>
      <c r="AO306" s="49" t="str">
        <f t="shared" si="18"/>
        <v>2012-12</v>
      </c>
      <c r="AP306" t="str">
        <f t="shared" si="19"/>
        <v>2017-06</v>
      </c>
    </row>
    <row r="307">
      <c r="A307" s="36">
        <v>40580.0</v>
      </c>
      <c r="B307" s="34">
        <v>0.635837239323</v>
      </c>
      <c r="C307" s="36">
        <v>42177.0</v>
      </c>
      <c r="D307" t="str">
        <f t="shared" si="6"/>
        <v>2011-02</v>
      </c>
      <c r="E307" s="44" t="str">
        <f t="shared" si="7"/>
        <v>2015-06</v>
      </c>
      <c r="F307" s="63"/>
      <c r="G307" s="36">
        <v>41047.0</v>
      </c>
      <c r="H307" s="34">
        <v>0.619195353653</v>
      </c>
      <c r="J307" t="str">
        <f t="shared" si="8"/>
        <v>2012-05</v>
      </c>
      <c r="K307" s="44"/>
      <c r="L307" s="46">
        <v>41340.0</v>
      </c>
      <c r="M307" s="4">
        <v>0.572142685333</v>
      </c>
      <c r="N307" s="36">
        <v>42661.0</v>
      </c>
      <c r="O307" t="str">
        <f t="shared" si="10"/>
        <v>2013-03</v>
      </c>
      <c r="P307" t="str">
        <f t="shared" si="11"/>
        <v>2016-10</v>
      </c>
      <c r="Q307" s="36">
        <v>42256.0</v>
      </c>
      <c r="R307" s="4">
        <v>0.814246633704</v>
      </c>
      <c r="T307" t="str">
        <f t="shared" si="12"/>
        <v>2015-09</v>
      </c>
      <c r="AB307" s="36">
        <v>40568.0</v>
      </c>
      <c r="AC307" s="4">
        <v>0.724866443755</v>
      </c>
      <c r="AD307" s="47">
        <v>42338.0</v>
      </c>
      <c r="AE307" t="str">
        <f t="shared" si="14"/>
        <v>2011-01</v>
      </c>
      <c r="AF307" t="str">
        <f t="shared" si="15"/>
        <v>2015-11</v>
      </c>
      <c r="AG307" s="36">
        <v>41506.0</v>
      </c>
      <c r="AH307" s="4">
        <v>0.882017456698</v>
      </c>
      <c r="AJ307" s="48" t="str">
        <f t="shared" si="16"/>
        <v>2013-08</v>
      </c>
      <c r="AL307" s="36">
        <v>41271.0</v>
      </c>
      <c r="AM307" s="4">
        <v>0.720808145872</v>
      </c>
      <c r="AN307" s="47">
        <v>42920.0</v>
      </c>
      <c r="AO307" s="49" t="str">
        <f t="shared" si="18"/>
        <v>2012-12</v>
      </c>
      <c r="AP307" t="str">
        <f t="shared" si="19"/>
        <v>2017-07</v>
      </c>
    </row>
    <row r="308">
      <c r="A308" s="36">
        <v>40581.0</v>
      </c>
      <c r="B308" s="34">
        <v>0.809207147007</v>
      </c>
      <c r="C308" s="36">
        <v>42194.0</v>
      </c>
      <c r="D308" t="str">
        <f t="shared" si="6"/>
        <v>2011-02</v>
      </c>
      <c r="E308" s="44" t="str">
        <f t="shared" si="7"/>
        <v>2015-07</v>
      </c>
      <c r="F308" s="63"/>
      <c r="G308" s="36">
        <v>41048.0</v>
      </c>
      <c r="H308" s="34">
        <v>0.739487536454</v>
      </c>
      <c r="J308" t="str">
        <f t="shared" si="8"/>
        <v>2012-05</v>
      </c>
      <c r="K308" s="44"/>
      <c r="L308" s="46">
        <v>41345.0</v>
      </c>
      <c r="M308" s="4">
        <v>0.700831152653</v>
      </c>
      <c r="N308" s="36">
        <v>42675.0</v>
      </c>
      <c r="O308" t="str">
        <f t="shared" si="10"/>
        <v>2013-03</v>
      </c>
      <c r="P308" t="str">
        <f t="shared" si="11"/>
        <v>2016-11</v>
      </c>
      <c r="Q308" s="36">
        <v>42257.0</v>
      </c>
      <c r="R308" s="4">
        <v>0.770847646195</v>
      </c>
      <c r="T308" t="str">
        <f t="shared" si="12"/>
        <v>2015-09</v>
      </c>
      <c r="AB308" s="36">
        <v>40575.0</v>
      </c>
      <c r="AC308" s="4">
        <v>0.739918148688</v>
      </c>
      <c r="AD308" s="47">
        <v>42361.0</v>
      </c>
      <c r="AE308" t="str">
        <f t="shared" si="14"/>
        <v>2011-02</v>
      </c>
      <c r="AF308" t="str">
        <f t="shared" si="15"/>
        <v>2015-12</v>
      </c>
      <c r="AG308" s="36">
        <v>41512.0</v>
      </c>
      <c r="AH308" s="4">
        <v>0.670753612097</v>
      </c>
      <c r="AJ308" s="48" t="str">
        <f t="shared" si="16"/>
        <v>2013-08</v>
      </c>
      <c r="AL308" s="36">
        <v>41272.0</v>
      </c>
      <c r="AM308" s="4">
        <v>0.679936820454</v>
      </c>
      <c r="AN308" s="47">
        <v>42921.0</v>
      </c>
      <c r="AO308" s="49" t="str">
        <f t="shared" si="18"/>
        <v>2012-12</v>
      </c>
      <c r="AP308" t="str">
        <f t="shared" si="19"/>
        <v>2017-07</v>
      </c>
    </row>
    <row r="309">
      <c r="A309" s="36">
        <v>40587.0</v>
      </c>
      <c r="B309" s="34">
        <v>0.693870064436</v>
      </c>
      <c r="C309" s="36">
        <v>42330.0</v>
      </c>
      <c r="D309" t="str">
        <f t="shared" si="6"/>
        <v>2011-02</v>
      </c>
      <c r="E309" s="44" t="str">
        <f t="shared" si="7"/>
        <v>2015-11</v>
      </c>
      <c r="F309" s="63"/>
      <c r="G309" s="36">
        <v>41049.0</v>
      </c>
      <c r="H309" s="34">
        <v>0.629583545123</v>
      </c>
      <c r="J309" t="str">
        <f t="shared" si="8"/>
        <v>2012-05</v>
      </c>
      <c r="K309" s="44"/>
      <c r="L309" s="46">
        <v>41346.0</v>
      </c>
      <c r="M309" s="4">
        <v>0.708300950232</v>
      </c>
      <c r="N309" s="36">
        <v>42650.0</v>
      </c>
      <c r="O309" t="str">
        <f t="shared" si="10"/>
        <v>2013-03</v>
      </c>
      <c r="P309" t="str">
        <f t="shared" si="11"/>
        <v>2016-10</v>
      </c>
      <c r="Q309" s="36">
        <v>42262.0</v>
      </c>
      <c r="R309" s="4">
        <v>0.917976086717</v>
      </c>
      <c r="T309" t="str">
        <f t="shared" si="12"/>
        <v>2015-09</v>
      </c>
      <c r="AB309" s="36">
        <v>40576.0</v>
      </c>
      <c r="AC309" s="4">
        <v>0.674302541101</v>
      </c>
      <c r="AD309" s="47">
        <v>42378.0</v>
      </c>
      <c r="AE309" t="str">
        <f t="shared" si="14"/>
        <v>2011-02</v>
      </c>
      <c r="AF309" t="str">
        <f t="shared" si="15"/>
        <v>2016-01</v>
      </c>
      <c r="AG309" s="36">
        <v>41513.0</v>
      </c>
      <c r="AH309" s="4">
        <v>0.766068406925</v>
      </c>
      <c r="AJ309" s="48" t="str">
        <f t="shared" si="16"/>
        <v>2013-08</v>
      </c>
      <c r="AL309" s="36">
        <v>41278.0</v>
      </c>
      <c r="AM309" s="4">
        <v>0.634478614154</v>
      </c>
      <c r="AN309" s="47">
        <v>42933.0</v>
      </c>
      <c r="AO309" s="49" t="str">
        <f t="shared" si="18"/>
        <v>2013-01</v>
      </c>
      <c r="AP309" t="str">
        <f t="shared" si="19"/>
        <v>2017-07</v>
      </c>
    </row>
    <row r="310">
      <c r="A310" s="36">
        <v>40588.0</v>
      </c>
      <c r="B310" s="34">
        <v>0.677761902317</v>
      </c>
      <c r="C310" s="36">
        <v>42342.0</v>
      </c>
      <c r="D310" t="str">
        <f t="shared" si="6"/>
        <v>2011-02</v>
      </c>
      <c r="E310" s="44" t="str">
        <f t="shared" si="7"/>
        <v>2015-12</v>
      </c>
      <c r="F310" s="63"/>
      <c r="G310" s="36">
        <v>41054.0</v>
      </c>
      <c r="H310" s="34">
        <v>0.603080898677</v>
      </c>
      <c r="J310" t="str">
        <f t="shared" si="8"/>
        <v>2012-05</v>
      </c>
      <c r="K310" s="44"/>
      <c r="L310" s="46">
        <v>41353.0</v>
      </c>
      <c r="M310" s="4">
        <v>0.70700361918</v>
      </c>
      <c r="N310" s="36">
        <v>42661.0</v>
      </c>
      <c r="O310" t="str">
        <f t="shared" si="10"/>
        <v>2013-03</v>
      </c>
      <c r="P310" t="str">
        <f t="shared" si="11"/>
        <v>2016-10</v>
      </c>
      <c r="Q310" s="36">
        <v>42263.0</v>
      </c>
      <c r="R310" s="4">
        <v>0.678863789806</v>
      </c>
      <c r="T310" t="str">
        <f t="shared" si="12"/>
        <v>2015-09</v>
      </c>
      <c r="AB310" s="36">
        <v>40582.0</v>
      </c>
      <c r="AC310" s="4">
        <v>0.720910864166</v>
      </c>
      <c r="AD310" s="47">
        <v>42393.0</v>
      </c>
      <c r="AE310" t="str">
        <f t="shared" si="14"/>
        <v>2011-02</v>
      </c>
      <c r="AF310" t="str">
        <f t="shared" si="15"/>
        <v>2016-01</v>
      </c>
      <c r="AG310" s="36">
        <v>41519.0</v>
      </c>
      <c r="AH310" s="4">
        <v>0.670714514712</v>
      </c>
      <c r="AJ310" s="48" t="str">
        <f t="shared" si="16"/>
        <v>2013-09</v>
      </c>
      <c r="AL310" s="36">
        <v>41285.0</v>
      </c>
      <c r="AM310" s="4">
        <v>0.692241263206</v>
      </c>
      <c r="AN310" s="47">
        <v>42948.0</v>
      </c>
      <c r="AO310" s="49" t="str">
        <f t="shared" si="18"/>
        <v>2013-01</v>
      </c>
      <c r="AP310" t="str">
        <f t="shared" si="19"/>
        <v>2017-08</v>
      </c>
    </row>
    <row r="311">
      <c r="A311" s="36">
        <v>40594.0</v>
      </c>
      <c r="B311" s="34">
        <v>0.682400965145</v>
      </c>
      <c r="C311" s="36">
        <v>42409.0</v>
      </c>
      <c r="D311" t="str">
        <f t="shared" si="6"/>
        <v>2011-02</v>
      </c>
      <c r="E311" s="44" t="str">
        <f t="shared" si="7"/>
        <v>2016-02</v>
      </c>
      <c r="F311" s="63"/>
      <c r="G311" s="36">
        <v>41055.0</v>
      </c>
      <c r="H311" s="34">
        <v>0.877119583866</v>
      </c>
      <c r="J311" t="str">
        <f t="shared" si="8"/>
        <v>2012-05</v>
      </c>
      <c r="K311" s="44"/>
      <c r="L311" s="46">
        <v>41354.0</v>
      </c>
      <c r="M311" s="4">
        <v>0.579241497178</v>
      </c>
      <c r="N311" s="36">
        <v>42670.0</v>
      </c>
      <c r="O311" t="str">
        <f t="shared" si="10"/>
        <v>2013-03</v>
      </c>
      <c r="P311" t="str">
        <f t="shared" si="11"/>
        <v>2016-10</v>
      </c>
      <c r="Q311" s="36">
        <v>42264.0</v>
      </c>
      <c r="R311" s="4">
        <v>0.726757038925</v>
      </c>
      <c r="T311" t="str">
        <f t="shared" si="12"/>
        <v>2015-09</v>
      </c>
      <c r="AB311" s="36">
        <v>40583.0</v>
      </c>
      <c r="AC311" s="4">
        <v>0.562205462955</v>
      </c>
      <c r="AD311" s="47">
        <v>42399.0</v>
      </c>
      <c r="AE311" t="str">
        <f t="shared" si="14"/>
        <v>2011-02</v>
      </c>
      <c r="AF311" t="str">
        <f t="shared" si="15"/>
        <v>2016-01</v>
      </c>
      <c r="AG311" s="36">
        <v>41520.0</v>
      </c>
      <c r="AH311" s="4">
        <v>0.789777019724</v>
      </c>
      <c r="AJ311" s="48" t="str">
        <f t="shared" si="16"/>
        <v>2013-09</v>
      </c>
      <c r="AL311" s="36">
        <v>41286.0</v>
      </c>
      <c r="AM311" s="4">
        <v>0.641890230404</v>
      </c>
      <c r="AN311" s="47">
        <v>42975.0</v>
      </c>
      <c r="AO311" s="49" t="str">
        <f t="shared" si="18"/>
        <v>2013-01</v>
      </c>
      <c r="AP311" t="str">
        <f t="shared" si="19"/>
        <v>2017-08</v>
      </c>
    </row>
    <row r="312">
      <c r="A312" s="36">
        <v>40601.0</v>
      </c>
      <c r="B312" s="34">
        <v>0.709175128212</v>
      </c>
      <c r="C312" s="36">
        <v>42433.0</v>
      </c>
      <c r="D312" t="str">
        <f t="shared" si="6"/>
        <v>2011-02</v>
      </c>
      <c r="E312" s="44" t="str">
        <f t="shared" si="7"/>
        <v>2016-03</v>
      </c>
      <c r="F312" s="63"/>
      <c r="G312" s="36">
        <v>41056.0</v>
      </c>
      <c r="H312" s="34">
        <v>0.772849321891</v>
      </c>
      <c r="J312" t="str">
        <f t="shared" si="8"/>
        <v>2012-05</v>
      </c>
      <c r="K312" s="44"/>
      <c r="L312" s="46">
        <v>41360.0</v>
      </c>
      <c r="M312" s="4">
        <v>0.773175401597</v>
      </c>
      <c r="N312" s="36">
        <v>42676.0</v>
      </c>
      <c r="O312" t="str">
        <f t="shared" si="10"/>
        <v>2013-03</v>
      </c>
      <c r="P312" t="str">
        <f t="shared" si="11"/>
        <v>2016-11</v>
      </c>
      <c r="Q312" s="36">
        <v>42265.0</v>
      </c>
      <c r="R312" s="4">
        <v>0.766401797683</v>
      </c>
      <c r="T312" t="str">
        <f t="shared" si="12"/>
        <v>2015-09</v>
      </c>
      <c r="AB312" s="36">
        <v>40589.0</v>
      </c>
      <c r="AC312" s="4">
        <v>0.742729660576</v>
      </c>
      <c r="AD312" s="47">
        <v>42400.0</v>
      </c>
      <c r="AE312" t="str">
        <f t="shared" si="14"/>
        <v>2011-02</v>
      </c>
      <c r="AF312" t="str">
        <f t="shared" si="15"/>
        <v>2016-01</v>
      </c>
      <c r="AG312" s="36">
        <v>41526.0</v>
      </c>
      <c r="AH312" s="4">
        <v>0.735146639923</v>
      </c>
      <c r="AJ312" s="48" t="str">
        <f t="shared" si="16"/>
        <v>2013-09</v>
      </c>
      <c r="AL312" s="36">
        <v>41292.0</v>
      </c>
      <c r="AM312" s="4">
        <v>0.731549996086</v>
      </c>
      <c r="AN312" s="47">
        <v>43013.0</v>
      </c>
      <c r="AO312" s="49" t="str">
        <f t="shared" si="18"/>
        <v>2013-01</v>
      </c>
      <c r="AP312" t="str">
        <f t="shared" si="19"/>
        <v>2017-10</v>
      </c>
    </row>
    <row r="313">
      <c r="A313" s="36">
        <v>40602.0</v>
      </c>
      <c r="B313" s="34">
        <v>0.574533170778</v>
      </c>
      <c r="C313" s="36">
        <v>42460.0</v>
      </c>
      <c r="D313" t="str">
        <f t="shared" si="6"/>
        <v>2011-02</v>
      </c>
      <c r="E313" s="44" t="str">
        <f t="shared" si="7"/>
        <v>2016-03</v>
      </c>
      <c r="F313" s="63"/>
      <c r="G313" s="36">
        <v>41057.0</v>
      </c>
      <c r="H313" s="34">
        <v>0.871009159708</v>
      </c>
      <c r="J313" t="str">
        <f t="shared" si="8"/>
        <v>2012-05</v>
      </c>
      <c r="K313" s="44"/>
      <c r="L313" s="46">
        <v>41361.0</v>
      </c>
      <c r="M313" s="4">
        <v>0.666117762612</v>
      </c>
      <c r="N313" s="36">
        <v>42702.0</v>
      </c>
      <c r="O313" t="str">
        <f t="shared" si="10"/>
        <v>2013-03</v>
      </c>
      <c r="P313" t="str">
        <f t="shared" si="11"/>
        <v>2016-11</v>
      </c>
      <c r="Q313" s="36">
        <v>42269.0</v>
      </c>
      <c r="R313" s="4">
        <v>0.612124252737</v>
      </c>
      <c r="T313" t="str">
        <f t="shared" si="12"/>
        <v>2015-09</v>
      </c>
      <c r="AB313" s="36">
        <v>40590.0</v>
      </c>
      <c r="AC313" s="4">
        <v>0.809337559058</v>
      </c>
      <c r="AD313" s="47">
        <v>42421.0</v>
      </c>
      <c r="AE313" t="str">
        <f t="shared" si="14"/>
        <v>2011-02</v>
      </c>
      <c r="AF313" t="str">
        <f t="shared" si="15"/>
        <v>2016-02</v>
      </c>
      <c r="AG313" s="36">
        <v>41533.0</v>
      </c>
      <c r="AH313" s="4">
        <v>0.700294314336</v>
      </c>
      <c r="AJ313" s="48" t="str">
        <f t="shared" si="16"/>
        <v>2013-09</v>
      </c>
      <c r="AL313" s="36">
        <v>41299.0</v>
      </c>
      <c r="AM313" s="4">
        <v>0.717073040455</v>
      </c>
      <c r="AN313" s="47">
        <v>43196.0</v>
      </c>
      <c r="AO313" s="49" t="str">
        <f t="shared" si="18"/>
        <v>2013-01</v>
      </c>
      <c r="AP313" t="str">
        <f t="shared" si="19"/>
        <v>2018-04</v>
      </c>
    </row>
    <row r="314">
      <c r="A314" s="36">
        <v>40608.0</v>
      </c>
      <c r="B314" s="34">
        <v>0.627297295338</v>
      </c>
      <c r="C314" s="36">
        <v>42496.0</v>
      </c>
      <c r="D314" t="str">
        <f t="shared" si="6"/>
        <v>2011-03</v>
      </c>
      <c r="E314" s="44" t="str">
        <f t="shared" si="7"/>
        <v>2016-05</v>
      </c>
      <c r="F314" s="63"/>
      <c r="G314" s="36">
        <v>41061.0</v>
      </c>
      <c r="H314" s="34">
        <v>0.704506568223</v>
      </c>
      <c r="J314" t="str">
        <f t="shared" si="8"/>
        <v>2012-06</v>
      </c>
      <c r="K314" s="44"/>
      <c r="L314" s="46">
        <v>41367.0</v>
      </c>
      <c r="M314" s="4">
        <v>0.746502200771</v>
      </c>
      <c r="N314" s="36">
        <v>42717.0</v>
      </c>
      <c r="O314" t="str">
        <f t="shared" si="10"/>
        <v>2013-04</v>
      </c>
      <c r="P314" t="str">
        <f t="shared" si="11"/>
        <v>2016-12</v>
      </c>
      <c r="Q314" s="36">
        <v>42270.0</v>
      </c>
      <c r="R314" s="4">
        <v>0.625111641865</v>
      </c>
      <c r="T314" t="str">
        <f t="shared" si="12"/>
        <v>2015-09</v>
      </c>
      <c r="AB314" s="36">
        <v>40596.0</v>
      </c>
      <c r="AC314" s="4">
        <v>0.680725138573</v>
      </c>
      <c r="AD314" s="47">
        <v>42443.0</v>
      </c>
      <c r="AE314" t="str">
        <f t="shared" si="14"/>
        <v>2011-02</v>
      </c>
      <c r="AF314" t="str">
        <f t="shared" si="15"/>
        <v>2016-03</v>
      </c>
      <c r="AG314" s="36">
        <v>41534.0</v>
      </c>
      <c r="AH314" s="4">
        <v>0.775737159631</v>
      </c>
      <c r="AJ314" s="48" t="str">
        <f t="shared" si="16"/>
        <v>2013-09</v>
      </c>
      <c r="AL314" s="36">
        <v>41306.0</v>
      </c>
      <c r="AM314" s="4">
        <v>0.666874820048</v>
      </c>
      <c r="AN314" s="47">
        <v>43220.0</v>
      </c>
      <c r="AO314" s="49" t="str">
        <f t="shared" si="18"/>
        <v>2013-02</v>
      </c>
      <c r="AP314" t="str">
        <f t="shared" si="19"/>
        <v>2018-04</v>
      </c>
    </row>
    <row r="315">
      <c r="A315" s="36">
        <v>40609.0</v>
      </c>
      <c r="B315" s="34">
        <v>0.722844879877</v>
      </c>
      <c r="C315" s="36">
        <v>42544.0</v>
      </c>
      <c r="D315" t="str">
        <f t="shared" si="6"/>
        <v>2011-03</v>
      </c>
      <c r="E315" s="44" t="str">
        <f t="shared" si="7"/>
        <v>2016-06</v>
      </c>
      <c r="F315" s="63"/>
      <c r="G315" s="36">
        <v>41062.0</v>
      </c>
      <c r="H315" s="34">
        <v>0.677216297873</v>
      </c>
      <c r="J315" t="str">
        <f t="shared" si="8"/>
        <v>2012-06</v>
      </c>
      <c r="K315" s="44"/>
      <c r="L315" s="46">
        <v>41368.0</v>
      </c>
      <c r="M315" s="4">
        <v>0.720194261535</v>
      </c>
      <c r="N315" s="36">
        <v>42723.0</v>
      </c>
      <c r="O315" t="str">
        <f t="shared" si="10"/>
        <v>2013-04</v>
      </c>
      <c r="P315" t="str">
        <f t="shared" si="11"/>
        <v>2016-12</v>
      </c>
      <c r="Q315" s="36">
        <v>42271.0</v>
      </c>
      <c r="R315" s="4">
        <v>0.689679277741</v>
      </c>
      <c r="T315" t="str">
        <f t="shared" si="12"/>
        <v>2015-09</v>
      </c>
      <c r="AB315" s="36">
        <v>40603.0</v>
      </c>
      <c r="AC315" s="4">
        <v>0.766932339329</v>
      </c>
      <c r="AD315" s="47">
        <v>42458.0</v>
      </c>
      <c r="AE315" t="str">
        <f t="shared" si="14"/>
        <v>2011-03</v>
      </c>
      <c r="AF315" t="str">
        <f t="shared" si="15"/>
        <v>2016-03</v>
      </c>
      <c r="AG315" s="36">
        <v>41540.0</v>
      </c>
      <c r="AH315" s="4">
        <v>0.761799920161</v>
      </c>
      <c r="AJ315" s="48" t="str">
        <f t="shared" si="16"/>
        <v>2013-09</v>
      </c>
      <c r="AL315" s="36">
        <v>41307.0</v>
      </c>
      <c r="AM315" s="4">
        <v>0.655907791217</v>
      </c>
      <c r="AN315" s="47">
        <v>42324.0</v>
      </c>
      <c r="AO315" s="49" t="str">
        <f t="shared" si="18"/>
        <v>2013-02</v>
      </c>
      <c r="AP315" t="str">
        <f t="shared" si="19"/>
        <v>2015-11</v>
      </c>
    </row>
    <row r="316">
      <c r="A316" s="36">
        <v>40615.0</v>
      </c>
      <c r="B316" s="34">
        <v>0.685996051864</v>
      </c>
      <c r="C316" s="36">
        <v>42641.0</v>
      </c>
      <c r="D316" t="str">
        <f t="shared" si="6"/>
        <v>2011-03</v>
      </c>
      <c r="E316" s="44" t="str">
        <f t="shared" si="7"/>
        <v>2016-09</v>
      </c>
      <c r="F316" s="63"/>
      <c r="G316" s="36">
        <v>41063.0</v>
      </c>
      <c r="H316" s="34">
        <v>0.67669897332</v>
      </c>
      <c r="J316" t="str">
        <f t="shared" si="8"/>
        <v>2012-06</v>
      </c>
      <c r="K316" s="44"/>
      <c r="L316" s="46">
        <v>41374.0</v>
      </c>
      <c r="M316" s="4">
        <v>0.600035686633</v>
      </c>
      <c r="N316" s="36">
        <v>42702.0</v>
      </c>
      <c r="O316" t="str">
        <f t="shared" si="10"/>
        <v>2013-04</v>
      </c>
      <c r="P316" t="str">
        <f t="shared" si="11"/>
        <v>2016-11</v>
      </c>
      <c r="Q316" s="36">
        <v>42272.0</v>
      </c>
      <c r="R316" s="4">
        <v>0.722181780471</v>
      </c>
      <c r="T316" t="str">
        <f t="shared" si="12"/>
        <v>2015-09</v>
      </c>
      <c r="AB316" s="36">
        <v>40610.0</v>
      </c>
      <c r="AC316" s="4">
        <v>0.719138330275</v>
      </c>
      <c r="AD316" s="47">
        <v>42700.0</v>
      </c>
      <c r="AE316" t="str">
        <f t="shared" si="14"/>
        <v>2011-03</v>
      </c>
      <c r="AF316" t="str">
        <f t="shared" si="15"/>
        <v>2016-11</v>
      </c>
      <c r="AG316" s="36">
        <v>41541.0</v>
      </c>
      <c r="AH316" s="4">
        <v>0.779205176139</v>
      </c>
      <c r="AJ316" s="48" t="str">
        <f t="shared" si="16"/>
        <v>2013-09</v>
      </c>
      <c r="AL316" s="36">
        <v>41313.0</v>
      </c>
      <c r="AM316" s="4">
        <v>0.735611810106</v>
      </c>
      <c r="AN316" s="47">
        <v>42338.0</v>
      </c>
      <c r="AO316" s="49" t="str">
        <f t="shared" si="18"/>
        <v>2013-02</v>
      </c>
      <c r="AP316" t="str">
        <f t="shared" si="19"/>
        <v>2015-11</v>
      </c>
    </row>
    <row r="317">
      <c r="A317" s="36">
        <v>40616.0</v>
      </c>
      <c r="B317" s="34">
        <v>0.800425525498</v>
      </c>
      <c r="C317" s="36">
        <v>42661.0</v>
      </c>
      <c r="D317" t="str">
        <f t="shared" si="6"/>
        <v>2011-03</v>
      </c>
      <c r="E317" s="44" t="str">
        <f t="shared" si="7"/>
        <v>2016-10</v>
      </c>
      <c r="F317" s="63"/>
      <c r="G317" s="36">
        <v>41067.0</v>
      </c>
      <c r="H317" s="34">
        <v>0.641232201537</v>
      </c>
      <c r="J317" t="str">
        <f t="shared" si="8"/>
        <v>2012-06</v>
      </c>
      <c r="K317" s="44"/>
      <c r="L317" s="46">
        <v>41375.0</v>
      </c>
      <c r="M317" s="4">
        <v>0.740204591221</v>
      </c>
      <c r="N317" s="36">
        <v>42704.0</v>
      </c>
      <c r="O317" t="str">
        <f t="shared" si="10"/>
        <v>2013-04</v>
      </c>
      <c r="P317" t="str">
        <f t="shared" si="11"/>
        <v>2016-11</v>
      </c>
      <c r="Q317" s="36">
        <v>42275.0</v>
      </c>
      <c r="R317" s="4">
        <v>0.953192663502</v>
      </c>
      <c r="T317" t="str">
        <f t="shared" si="12"/>
        <v>2015-09</v>
      </c>
      <c r="AB317" s="36">
        <v>40611.0</v>
      </c>
      <c r="AC317" s="4">
        <v>0.467599555095</v>
      </c>
      <c r="AD317" s="47">
        <v>42372.0</v>
      </c>
      <c r="AE317" t="str">
        <f t="shared" si="14"/>
        <v>2011-03</v>
      </c>
      <c r="AF317" t="str">
        <f t="shared" si="15"/>
        <v>2016-01</v>
      </c>
      <c r="AG317" s="36">
        <v>41547.0</v>
      </c>
      <c r="AH317" s="4">
        <v>0.669619952769</v>
      </c>
      <c r="AJ317" s="48" t="str">
        <f t="shared" si="16"/>
        <v>2013-09</v>
      </c>
      <c r="AL317" s="36">
        <v>41314.0</v>
      </c>
      <c r="AM317" s="4">
        <v>0.639960873866</v>
      </c>
      <c r="AN317" s="47">
        <v>42364.0</v>
      </c>
      <c r="AO317" s="49" t="str">
        <f t="shared" si="18"/>
        <v>2013-02</v>
      </c>
      <c r="AP317" t="str">
        <f t="shared" si="19"/>
        <v>2015-12</v>
      </c>
    </row>
    <row r="318">
      <c r="A318" s="36">
        <v>40622.0</v>
      </c>
      <c r="B318" s="34">
        <v>0.649716818485</v>
      </c>
      <c r="C318" s="36">
        <v>41361.0</v>
      </c>
      <c r="D318" t="str">
        <f t="shared" si="6"/>
        <v>2011-03</v>
      </c>
      <c r="E318" s="44" t="str">
        <f t="shared" si="7"/>
        <v>2013-03</v>
      </c>
      <c r="F318" s="63"/>
      <c r="G318" s="36">
        <v>41068.0</v>
      </c>
      <c r="H318" s="34">
        <v>0.735280890345</v>
      </c>
      <c r="J318" t="str">
        <f t="shared" si="8"/>
        <v>2012-06</v>
      </c>
      <c r="K318" s="44"/>
      <c r="L318" s="46">
        <v>41381.0</v>
      </c>
      <c r="M318" s="4">
        <v>0.671796233545</v>
      </c>
      <c r="N318" s="36">
        <v>42711.0</v>
      </c>
      <c r="O318" t="str">
        <f t="shared" si="10"/>
        <v>2013-04</v>
      </c>
      <c r="P318" t="str">
        <f t="shared" si="11"/>
        <v>2016-12</v>
      </c>
      <c r="Q318" s="36">
        <v>42276.0</v>
      </c>
      <c r="R318" s="4">
        <v>0.657473021355</v>
      </c>
      <c r="T318" t="str">
        <f t="shared" si="12"/>
        <v>2015-09</v>
      </c>
      <c r="AB318" s="36">
        <v>40617.0</v>
      </c>
      <c r="AC318" s="4">
        <v>0.734372932318</v>
      </c>
      <c r="AD318" s="47">
        <v>42399.0</v>
      </c>
      <c r="AE318" t="str">
        <f t="shared" si="14"/>
        <v>2011-03</v>
      </c>
      <c r="AF318" t="str">
        <f t="shared" si="15"/>
        <v>2016-01</v>
      </c>
      <c r="AG318" s="36">
        <v>41548.0</v>
      </c>
      <c r="AH318" s="4">
        <v>0.73054543386</v>
      </c>
      <c r="AJ318" s="48" t="str">
        <f t="shared" si="16"/>
        <v>2013-10</v>
      </c>
      <c r="AL318" s="36">
        <v>41320.0</v>
      </c>
      <c r="AM318" s="4">
        <v>0.755892478497</v>
      </c>
      <c r="AN318" s="47">
        <v>42403.0</v>
      </c>
      <c r="AO318" s="49" t="str">
        <f t="shared" si="18"/>
        <v>2013-02</v>
      </c>
      <c r="AP318" t="str">
        <f t="shared" si="19"/>
        <v>2016-02</v>
      </c>
    </row>
    <row r="319">
      <c r="A319" s="36">
        <v>40623.0</v>
      </c>
      <c r="B319" s="34">
        <v>0.586786632213</v>
      </c>
      <c r="C319" s="36">
        <v>41383.0</v>
      </c>
      <c r="D319" t="str">
        <f t="shared" si="6"/>
        <v>2011-03</v>
      </c>
      <c r="E319" s="44" t="str">
        <f t="shared" si="7"/>
        <v>2013-04</v>
      </c>
      <c r="F319" s="63"/>
      <c r="G319" s="36">
        <v>41069.0</v>
      </c>
      <c r="H319" s="34">
        <v>0.783884606933</v>
      </c>
      <c r="J319" t="str">
        <f t="shared" si="8"/>
        <v>2012-06</v>
      </c>
      <c r="K319" s="44"/>
      <c r="L319" s="46">
        <v>41382.0</v>
      </c>
      <c r="M319" s="4">
        <v>0.659942803613</v>
      </c>
      <c r="N319" s="36">
        <v>42718.0</v>
      </c>
      <c r="O319" t="str">
        <f t="shared" si="10"/>
        <v>2013-04</v>
      </c>
      <c r="P319" t="str">
        <f t="shared" si="11"/>
        <v>2016-12</v>
      </c>
      <c r="Q319" s="36">
        <v>42277.0</v>
      </c>
      <c r="R319" s="4">
        <v>0.591631071649</v>
      </c>
      <c r="T319" t="str">
        <f t="shared" si="12"/>
        <v>2015-09</v>
      </c>
      <c r="AB319" s="36">
        <v>40618.0</v>
      </c>
      <c r="AC319" s="4">
        <v>0.700882908089</v>
      </c>
      <c r="AD319" s="47">
        <v>42400.0</v>
      </c>
      <c r="AE319" t="str">
        <f t="shared" si="14"/>
        <v>2011-03</v>
      </c>
      <c r="AF319" t="str">
        <f t="shared" si="15"/>
        <v>2016-01</v>
      </c>
      <c r="AG319" s="36">
        <v>41554.0</v>
      </c>
      <c r="AH319" s="4">
        <v>0.759915119762</v>
      </c>
      <c r="AJ319" s="48" t="str">
        <f t="shared" si="16"/>
        <v>2013-10</v>
      </c>
      <c r="AL319" s="36">
        <v>41321.0</v>
      </c>
      <c r="AM319" s="4">
        <v>0.599652738327</v>
      </c>
      <c r="AN319" s="47">
        <v>42428.0</v>
      </c>
      <c r="AO319" s="49" t="str">
        <f t="shared" si="18"/>
        <v>2013-02</v>
      </c>
      <c r="AP319" t="str">
        <f t="shared" si="19"/>
        <v>2016-02</v>
      </c>
    </row>
    <row r="320">
      <c r="A320" s="36">
        <v>40629.0</v>
      </c>
      <c r="B320" s="34">
        <v>0.593911411096</v>
      </c>
      <c r="C320" s="36">
        <v>41407.0</v>
      </c>
      <c r="D320" t="str">
        <f t="shared" si="6"/>
        <v>2011-03</v>
      </c>
      <c r="E320" s="44" t="str">
        <f t="shared" si="7"/>
        <v>2013-05</v>
      </c>
      <c r="F320" s="63"/>
      <c r="G320" s="36">
        <v>41070.0</v>
      </c>
      <c r="H320" s="34">
        <v>0.427449053446</v>
      </c>
      <c r="J320" t="str">
        <f t="shared" si="8"/>
        <v>2012-06</v>
      </c>
      <c r="K320" s="44"/>
      <c r="L320" s="46">
        <v>41388.0</v>
      </c>
      <c r="M320" s="4">
        <v>0.695797654187</v>
      </c>
      <c r="N320" s="36">
        <v>42755.0</v>
      </c>
      <c r="O320" t="str">
        <f t="shared" si="10"/>
        <v>2013-04</v>
      </c>
      <c r="P320" t="str">
        <f t="shared" si="11"/>
        <v>2017-01</v>
      </c>
      <c r="Q320" s="36">
        <v>42278.0</v>
      </c>
      <c r="R320" s="4">
        <v>0.61704168286</v>
      </c>
      <c r="T320" t="str">
        <f t="shared" si="12"/>
        <v>2015-10</v>
      </c>
      <c r="AB320" s="36">
        <v>40624.0</v>
      </c>
      <c r="AC320" s="4">
        <v>0.715146595461</v>
      </c>
      <c r="AD320" s="47">
        <v>42412.0</v>
      </c>
      <c r="AE320" t="str">
        <f t="shared" si="14"/>
        <v>2011-03</v>
      </c>
      <c r="AF320" t="str">
        <f t="shared" si="15"/>
        <v>2016-02</v>
      </c>
      <c r="AG320" s="36">
        <v>41555.0</v>
      </c>
      <c r="AH320" s="4">
        <v>0.756603893688</v>
      </c>
      <c r="AJ320" s="48" t="str">
        <f t="shared" si="16"/>
        <v>2013-10</v>
      </c>
      <c r="AL320" s="36">
        <v>41327.0</v>
      </c>
      <c r="AM320" s="4">
        <v>0.668975846952</v>
      </c>
      <c r="AN320" s="47">
        <v>42459.0</v>
      </c>
      <c r="AO320" s="49" t="str">
        <f t="shared" si="18"/>
        <v>2013-02</v>
      </c>
      <c r="AP320" t="str">
        <f t="shared" si="19"/>
        <v>2016-03</v>
      </c>
    </row>
    <row r="321">
      <c r="A321" s="36">
        <v>40630.0</v>
      </c>
      <c r="B321" s="34">
        <v>0.636583788576</v>
      </c>
      <c r="C321" s="36">
        <v>41451.0</v>
      </c>
      <c r="D321" t="str">
        <f t="shared" si="6"/>
        <v>2011-03</v>
      </c>
      <c r="E321" s="44" t="str">
        <f t="shared" si="7"/>
        <v>2013-06</v>
      </c>
      <c r="F321" s="63"/>
      <c r="G321" s="36">
        <v>41071.0</v>
      </c>
      <c r="H321" s="34">
        <v>0.520319091123</v>
      </c>
      <c r="J321" t="str">
        <f t="shared" si="8"/>
        <v>2012-06</v>
      </c>
      <c r="K321" s="44"/>
      <c r="L321" s="46">
        <v>41389.0</v>
      </c>
      <c r="M321" s="4">
        <v>0.705865764495</v>
      </c>
      <c r="N321" s="36">
        <v>42756.0</v>
      </c>
      <c r="O321" t="str">
        <f t="shared" si="10"/>
        <v>2013-04</v>
      </c>
      <c r="P321" t="str">
        <f t="shared" si="11"/>
        <v>2017-01</v>
      </c>
      <c r="Q321" s="36">
        <v>42284.0</v>
      </c>
      <c r="R321" s="4">
        <v>0.794772877892</v>
      </c>
      <c r="T321" t="str">
        <f t="shared" si="12"/>
        <v>2015-10</v>
      </c>
      <c r="AB321" s="36">
        <v>40625.0</v>
      </c>
      <c r="AC321" s="4">
        <v>0.719709258168</v>
      </c>
      <c r="AD321" s="47">
        <v>42421.0</v>
      </c>
      <c r="AE321" t="str">
        <f t="shared" si="14"/>
        <v>2011-03</v>
      </c>
      <c r="AF321" t="str">
        <f t="shared" si="15"/>
        <v>2016-02</v>
      </c>
      <c r="AG321" s="36">
        <v>41561.0</v>
      </c>
      <c r="AH321" s="4">
        <v>0.725422246482</v>
      </c>
      <c r="AJ321" s="48" t="str">
        <f t="shared" si="16"/>
        <v>2013-10</v>
      </c>
      <c r="AL321" s="36">
        <v>41334.0</v>
      </c>
      <c r="AM321" s="4">
        <v>0.698326599847</v>
      </c>
      <c r="AN321" s="47">
        <v>42493.0</v>
      </c>
      <c r="AO321" s="49" t="str">
        <f t="shared" si="18"/>
        <v>2013-03</v>
      </c>
      <c r="AP321" t="str">
        <f t="shared" si="19"/>
        <v>2016-05</v>
      </c>
    </row>
    <row r="322">
      <c r="A322" s="36">
        <v>40636.0</v>
      </c>
      <c r="B322" s="34">
        <v>0.725678943474</v>
      </c>
      <c r="C322" s="36">
        <v>41467.0</v>
      </c>
      <c r="D322" t="str">
        <f t="shared" si="6"/>
        <v>2011-04</v>
      </c>
      <c r="E322" s="44" t="str">
        <f t="shared" si="7"/>
        <v>2013-07</v>
      </c>
      <c r="F322" s="63"/>
      <c r="G322" s="36">
        <v>41077.0</v>
      </c>
      <c r="H322" s="34">
        <v>0.712234202802</v>
      </c>
      <c r="J322" t="str">
        <f t="shared" si="8"/>
        <v>2012-06</v>
      </c>
      <c r="K322" s="44"/>
      <c r="L322" s="46">
        <v>41394.0</v>
      </c>
      <c r="M322" s="4">
        <v>0.662745399429</v>
      </c>
      <c r="N322" s="36">
        <v>42756.0</v>
      </c>
      <c r="O322" t="str">
        <f t="shared" si="10"/>
        <v>2013-04</v>
      </c>
      <c r="P322" t="str">
        <f t="shared" si="11"/>
        <v>2017-01</v>
      </c>
      <c r="Q322" s="36">
        <v>42285.0</v>
      </c>
      <c r="R322" s="4">
        <v>0.638024049478</v>
      </c>
      <c r="T322" t="str">
        <f t="shared" si="12"/>
        <v>2015-10</v>
      </c>
      <c r="AB322" s="36">
        <v>40631.0</v>
      </c>
      <c r="AC322" s="4">
        <v>0.731212323632</v>
      </c>
      <c r="AD322" s="47">
        <v>42436.0</v>
      </c>
      <c r="AE322" t="str">
        <f t="shared" si="14"/>
        <v>2011-03</v>
      </c>
      <c r="AF322" t="str">
        <f t="shared" si="15"/>
        <v>2016-03</v>
      </c>
      <c r="AG322" s="36">
        <v>41562.0</v>
      </c>
      <c r="AH322" s="4">
        <v>0.609737185946</v>
      </c>
      <c r="AJ322" s="48" t="str">
        <f t="shared" si="16"/>
        <v>2013-10</v>
      </c>
      <c r="AL322" s="36">
        <v>41335.0</v>
      </c>
      <c r="AM322" s="4">
        <v>0.752907051698</v>
      </c>
      <c r="AN322" s="47">
        <v>42499.0</v>
      </c>
      <c r="AO322" s="49" t="str">
        <f t="shared" si="18"/>
        <v>2013-03</v>
      </c>
      <c r="AP322" t="str">
        <f t="shared" si="19"/>
        <v>2016-05</v>
      </c>
    </row>
    <row r="323">
      <c r="A323" s="36">
        <v>40637.0</v>
      </c>
      <c r="B323" s="34">
        <v>0.762394035452</v>
      </c>
      <c r="C323" s="36">
        <v>41493.0</v>
      </c>
      <c r="D323" t="str">
        <f t="shared" si="6"/>
        <v>2011-04</v>
      </c>
      <c r="E323" s="44" t="str">
        <f t="shared" si="7"/>
        <v>2013-08</v>
      </c>
      <c r="F323" s="63"/>
      <c r="G323" s="36">
        <v>41078.0</v>
      </c>
      <c r="H323" s="34">
        <v>0.684980244148</v>
      </c>
      <c r="J323" t="str">
        <f t="shared" si="8"/>
        <v>2012-06</v>
      </c>
      <c r="K323" s="44"/>
      <c r="L323" s="46">
        <v>41395.0</v>
      </c>
      <c r="M323" s="4">
        <v>0.72842806969</v>
      </c>
      <c r="N323" s="36">
        <v>42756.0</v>
      </c>
      <c r="O323" t="str">
        <f t="shared" si="10"/>
        <v>2013-05</v>
      </c>
      <c r="P323" t="str">
        <f t="shared" si="11"/>
        <v>2017-01</v>
      </c>
      <c r="Q323" s="36">
        <v>42290.0</v>
      </c>
      <c r="R323" s="4">
        <v>0.39157756762</v>
      </c>
      <c r="T323" t="str">
        <f t="shared" si="12"/>
        <v>2015-10</v>
      </c>
      <c r="AB323" s="36">
        <v>40632.0</v>
      </c>
      <c r="AC323" s="4">
        <v>0.769525395578</v>
      </c>
      <c r="AD323" s="47">
        <v>42443.0</v>
      </c>
      <c r="AE323" t="str">
        <f t="shared" si="14"/>
        <v>2011-03</v>
      </c>
      <c r="AF323" t="str">
        <f t="shared" si="15"/>
        <v>2016-03</v>
      </c>
      <c r="AG323" s="36">
        <v>41568.0</v>
      </c>
      <c r="AH323" s="4">
        <v>0.676932673854</v>
      </c>
      <c r="AJ323" s="48" t="str">
        <f t="shared" si="16"/>
        <v>2013-10</v>
      </c>
      <c r="AL323" s="36">
        <v>41341.0</v>
      </c>
      <c r="AM323" s="4">
        <v>0.72702066838</v>
      </c>
      <c r="AN323" s="47">
        <v>42527.0</v>
      </c>
      <c r="AO323" s="49" t="str">
        <f t="shared" si="18"/>
        <v>2013-03</v>
      </c>
      <c r="AP323" t="str">
        <f t="shared" si="19"/>
        <v>2016-06</v>
      </c>
    </row>
    <row r="324">
      <c r="A324" s="36">
        <v>40643.0</v>
      </c>
      <c r="B324" s="34">
        <v>0.713469412917</v>
      </c>
      <c r="C324" s="36">
        <v>41507.0</v>
      </c>
      <c r="D324" t="str">
        <f t="shared" si="6"/>
        <v>2011-04</v>
      </c>
      <c r="E324" s="44" t="str">
        <f t="shared" si="7"/>
        <v>2013-08</v>
      </c>
      <c r="F324" s="63"/>
      <c r="G324" s="36">
        <v>41083.0</v>
      </c>
      <c r="H324" s="34">
        <v>0.675201406721</v>
      </c>
      <c r="J324" t="str">
        <f t="shared" si="8"/>
        <v>2012-06</v>
      </c>
      <c r="K324" s="44"/>
      <c r="L324" s="46">
        <v>41396.0</v>
      </c>
      <c r="M324" s="4">
        <v>0.627447267737</v>
      </c>
      <c r="N324" s="36">
        <v>42759.0</v>
      </c>
      <c r="O324" t="str">
        <f t="shared" si="10"/>
        <v>2013-05</v>
      </c>
      <c r="P324" t="str">
        <f t="shared" si="11"/>
        <v>2017-01</v>
      </c>
      <c r="Q324" s="36">
        <v>42291.0</v>
      </c>
      <c r="R324" s="4">
        <v>0.769430912037</v>
      </c>
      <c r="T324" t="str">
        <f t="shared" si="12"/>
        <v>2015-10</v>
      </c>
      <c r="AB324" s="36">
        <v>40638.0</v>
      </c>
      <c r="AC324" s="4">
        <v>0.711640027282</v>
      </c>
      <c r="AD324" s="47">
        <v>42458.0</v>
      </c>
      <c r="AE324" t="str">
        <f t="shared" si="14"/>
        <v>2011-04</v>
      </c>
      <c r="AF324" t="str">
        <f t="shared" si="15"/>
        <v>2016-03</v>
      </c>
      <c r="AG324" s="36">
        <v>41569.0</v>
      </c>
      <c r="AH324" s="4">
        <v>0.506199632818</v>
      </c>
      <c r="AJ324" s="48" t="str">
        <f t="shared" si="16"/>
        <v>2013-10</v>
      </c>
      <c r="AL324" s="36">
        <v>41342.0</v>
      </c>
      <c r="AM324" s="4">
        <v>0.744376712316</v>
      </c>
      <c r="AN324" s="47">
        <v>42551.0</v>
      </c>
      <c r="AO324" s="49" t="str">
        <f t="shared" si="18"/>
        <v>2013-03</v>
      </c>
      <c r="AP324" t="str">
        <f t="shared" si="19"/>
        <v>2016-06</v>
      </c>
    </row>
    <row r="325">
      <c r="A325" s="36">
        <v>40644.0</v>
      </c>
      <c r="B325" s="34">
        <v>0.744247116363</v>
      </c>
      <c r="C325" s="36">
        <v>41521.0</v>
      </c>
      <c r="D325" t="str">
        <f t="shared" si="6"/>
        <v>2011-04</v>
      </c>
      <c r="E325" s="44" t="str">
        <f t="shared" si="7"/>
        <v>2013-09</v>
      </c>
      <c r="F325" s="63"/>
      <c r="G325" s="36">
        <v>41084.0</v>
      </c>
      <c r="H325" s="34">
        <v>0.801443118544</v>
      </c>
      <c r="J325" t="str">
        <f t="shared" si="8"/>
        <v>2012-06</v>
      </c>
      <c r="K325" s="44"/>
      <c r="L325" s="46">
        <v>41401.0</v>
      </c>
      <c r="M325" s="4">
        <v>0.857562325443</v>
      </c>
      <c r="N325" s="36">
        <v>42782.0</v>
      </c>
      <c r="O325" t="str">
        <f t="shared" si="10"/>
        <v>2013-05</v>
      </c>
      <c r="P325" t="str">
        <f t="shared" si="11"/>
        <v>2017-02</v>
      </c>
      <c r="Q325" s="36">
        <v>42292.0</v>
      </c>
      <c r="R325" s="4">
        <v>0.705226251673</v>
      </c>
      <c r="T325" t="str">
        <f t="shared" si="12"/>
        <v>2015-10</v>
      </c>
      <c r="AB325" s="36">
        <v>40639.0</v>
      </c>
      <c r="AC325" s="4">
        <v>0.65500053486</v>
      </c>
      <c r="AD325" s="47">
        <v>42471.0</v>
      </c>
      <c r="AE325" t="str">
        <f t="shared" si="14"/>
        <v>2011-04</v>
      </c>
      <c r="AF325" t="str">
        <f t="shared" si="15"/>
        <v>2016-04</v>
      </c>
      <c r="AG325" s="36">
        <v>41575.0</v>
      </c>
      <c r="AH325" s="4">
        <v>0.700289725567</v>
      </c>
      <c r="AJ325" s="48" t="str">
        <f t="shared" si="16"/>
        <v>2013-10</v>
      </c>
      <c r="AL325" s="36">
        <v>41348.0</v>
      </c>
      <c r="AM325" s="4">
        <v>0.772670328354</v>
      </c>
      <c r="AN325" s="47">
        <v>42581.0</v>
      </c>
      <c r="AO325" s="49" t="str">
        <f t="shared" si="18"/>
        <v>2013-03</v>
      </c>
      <c r="AP325" t="str">
        <f t="shared" si="19"/>
        <v>2016-07</v>
      </c>
    </row>
    <row r="326">
      <c r="A326" s="36">
        <v>40650.0</v>
      </c>
      <c r="B326" s="34">
        <v>0.62343761272</v>
      </c>
      <c r="C326" s="36">
        <v>41577.0</v>
      </c>
      <c r="D326" t="str">
        <f t="shared" si="6"/>
        <v>2011-04</v>
      </c>
      <c r="E326" s="44" t="str">
        <f t="shared" si="7"/>
        <v>2013-10</v>
      </c>
      <c r="F326" s="63"/>
      <c r="G326" s="36">
        <v>41090.0</v>
      </c>
      <c r="H326" s="34">
        <v>0.736154084248</v>
      </c>
      <c r="J326" t="str">
        <f t="shared" si="8"/>
        <v>2012-06</v>
      </c>
      <c r="K326" s="44"/>
      <c r="L326" s="46">
        <v>41402.0</v>
      </c>
      <c r="M326" s="4">
        <v>0.605828718111</v>
      </c>
      <c r="N326" s="36">
        <v>42785.0</v>
      </c>
      <c r="O326" t="str">
        <f t="shared" si="10"/>
        <v>2013-05</v>
      </c>
      <c r="P326" t="str">
        <f t="shared" si="11"/>
        <v>2017-02</v>
      </c>
      <c r="Q326" s="36">
        <v>42293.0</v>
      </c>
      <c r="R326" s="4">
        <v>0.758835323467</v>
      </c>
      <c r="T326" t="str">
        <f t="shared" si="12"/>
        <v>2015-10</v>
      </c>
      <c r="AB326" s="36">
        <v>40645.0</v>
      </c>
      <c r="AC326" s="4">
        <v>0.736373635834</v>
      </c>
      <c r="AD326" s="47">
        <v>42485.0</v>
      </c>
      <c r="AE326" t="str">
        <f t="shared" si="14"/>
        <v>2011-04</v>
      </c>
      <c r="AF326" t="str">
        <f t="shared" si="15"/>
        <v>2016-04</v>
      </c>
      <c r="AG326" s="36">
        <v>41576.0</v>
      </c>
      <c r="AH326" s="4">
        <v>0.674624170513</v>
      </c>
      <c r="AJ326" s="48" t="str">
        <f t="shared" si="16"/>
        <v>2013-10</v>
      </c>
      <c r="AL326" s="36">
        <v>41349.0</v>
      </c>
      <c r="AM326" s="4">
        <v>0.397090659198</v>
      </c>
      <c r="AN326" s="47">
        <v>42503.0</v>
      </c>
      <c r="AO326" s="49" t="str">
        <f t="shared" si="18"/>
        <v>2013-03</v>
      </c>
      <c r="AP326" t="str">
        <f t="shared" si="19"/>
        <v>2016-05</v>
      </c>
    </row>
    <row r="327">
      <c r="A327" s="36">
        <v>40651.0</v>
      </c>
      <c r="B327" s="34">
        <v>0.75410334592</v>
      </c>
      <c r="C327" s="36">
        <v>41599.0</v>
      </c>
      <c r="D327" t="str">
        <f t="shared" si="6"/>
        <v>2011-04</v>
      </c>
      <c r="E327" s="44" t="str">
        <f t="shared" si="7"/>
        <v>2013-11</v>
      </c>
      <c r="F327" s="63"/>
      <c r="G327" s="36">
        <v>41091.0</v>
      </c>
      <c r="H327" s="34">
        <v>0.706085048247</v>
      </c>
      <c r="J327" t="str">
        <f t="shared" si="8"/>
        <v>2012-07</v>
      </c>
      <c r="K327" s="44"/>
      <c r="L327" s="46">
        <v>41403.0</v>
      </c>
      <c r="M327" s="4">
        <v>0.573454411128</v>
      </c>
      <c r="N327" s="36">
        <v>42802.0</v>
      </c>
      <c r="O327" t="str">
        <f t="shared" si="10"/>
        <v>2013-05</v>
      </c>
      <c r="P327" t="str">
        <f t="shared" si="11"/>
        <v>2017-03</v>
      </c>
      <c r="Q327" s="36">
        <v>42297.0</v>
      </c>
      <c r="R327" s="4">
        <v>0.621742674709</v>
      </c>
      <c r="T327" t="str">
        <f t="shared" si="12"/>
        <v>2015-10</v>
      </c>
      <c r="AB327" s="36">
        <v>40646.0</v>
      </c>
      <c r="AC327" s="4">
        <v>0.664371428204</v>
      </c>
      <c r="AD327" s="47">
        <v>42507.0</v>
      </c>
      <c r="AE327" t="str">
        <f t="shared" si="14"/>
        <v>2011-04</v>
      </c>
      <c r="AF327" t="str">
        <f t="shared" si="15"/>
        <v>2016-05</v>
      </c>
      <c r="AG327" s="36">
        <v>41582.0</v>
      </c>
      <c r="AH327" s="4">
        <v>0.774940336071</v>
      </c>
      <c r="AJ327" s="48" t="str">
        <f t="shared" si="16"/>
        <v>2013-11</v>
      </c>
      <c r="AL327" s="36">
        <v>41355.0</v>
      </c>
      <c r="AM327" s="4">
        <v>0.731324638016</v>
      </c>
      <c r="AN327" s="47">
        <v>42516.0</v>
      </c>
      <c r="AO327" s="49" t="str">
        <f t="shared" si="18"/>
        <v>2013-03</v>
      </c>
      <c r="AP327" t="str">
        <f t="shared" si="19"/>
        <v>2016-05</v>
      </c>
    </row>
    <row r="328">
      <c r="A328" s="36">
        <v>40657.0</v>
      </c>
      <c r="B328" s="34">
        <v>0.600280718113</v>
      </c>
      <c r="C328" s="36">
        <v>41640.0</v>
      </c>
      <c r="D328" t="str">
        <f t="shared" si="6"/>
        <v>2011-04</v>
      </c>
      <c r="E328" s="44" t="str">
        <f t="shared" si="7"/>
        <v>2014-01</v>
      </c>
      <c r="F328" s="63"/>
      <c r="G328" s="36">
        <v>41098.0</v>
      </c>
      <c r="H328" s="34">
        <v>0.732033064676</v>
      </c>
      <c r="J328" t="str">
        <f t="shared" si="8"/>
        <v>2012-07</v>
      </c>
      <c r="K328" s="44"/>
      <c r="L328" s="46">
        <v>41409.0</v>
      </c>
      <c r="M328" s="4">
        <v>0.685687362239</v>
      </c>
      <c r="N328" s="36">
        <v>42756.0</v>
      </c>
      <c r="O328" t="str">
        <f t="shared" si="10"/>
        <v>2013-05</v>
      </c>
      <c r="P328" t="str">
        <f t="shared" si="11"/>
        <v>2017-01</v>
      </c>
      <c r="Q328" s="36">
        <v>42298.0</v>
      </c>
      <c r="R328" s="4">
        <v>0.715616056064</v>
      </c>
      <c r="T328" t="str">
        <f t="shared" si="12"/>
        <v>2015-10</v>
      </c>
      <c r="AB328" s="36">
        <v>40652.0</v>
      </c>
      <c r="AC328" s="4">
        <v>0.674643714668</v>
      </c>
      <c r="AD328" s="47">
        <v>42516.0</v>
      </c>
      <c r="AE328" t="str">
        <f t="shared" si="14"/>
        <v>2011-04</v>
      </c>
      <c r="AF328" t="str">
        <f t="shared" si="15"/>
        <v>2016-05</v>
      </c>
      <c r="AG328" s="36">
        <v>41583.0</v>
      </c>
      <c r="AH328" s="4">
        <v>0.794751772231</v>
      </c>
      <c r="AJ328" s="48" t="str">
        <f t="shared" si="16"/>
        <v>2013-11</v>
      </c>
      <c r="AL328" s="36">
        <v>41356.0</v>
      </c>
      <c r="AM328" s="4">
        <v>0.729888483778</v>
      </c>
      <c r="AN328" s="47">
        <v>42520.0</v>
      </c>
      <c r="AO328" s="49" t="str">
        <f t="shared" si="18"/>
        <v>2013-03</v>
      </c>
      <c r="AP328" t="str">
        <f t="shared" si="19"/>
        <v>2016-05</v>
      </c>
    </row>
    <row r="329">
      <c r="A329" s="36">
        <v>40658.0</v>
      </c>
      <c r="B329" s="34">
        <v>0.621152364197</v>
      </c>
      <c r="C329" s="36">
        <v>41668.0</v>
      </c>
      <c r="D329" t="str">
        <f t="shared" si="6"/>
        <v>2011-04</v>
      </c>
      <c r="E329" s="44" t="str">
        <f t="shared" si="7"/>
        <v>2014-01</v>
      </c>
      <c r="F329" s="63"/>
      <c r="G329" s="36">
        <v>41099.0</v>
      </c>
      <c r="H329" s="34">
        <v>0.879249782756</v>
      </c>
      <c r="J329" t="str">
        <f t="shared" si="8"/>
        <v>2012-07</v>
      </c>
      <c r="K329" s="44"/>
      <c r="L329" s="46">
        <v>41410.0</v>
      </c>
      <c r="M329" s="4">
        <v>0.826406840502</v>
      </c>
      <c r="N329" s="36">
        <v>42782.0</v>
      </c>
      <c r="O329" t="str">
        <f t="shared" si="10"/>
        <v>2013-05</v>
      </c>
      <c r="P329" t="str">
        <f t="shared" si="11"/>
        <v>2017-02</v>
      </c>
      <c r="Q329" s="36">
        <v>42299.0</v>
      </c>
      <c r="R329" s="4">
        <v>0.594737853884</v>
      </c>
      <c r="T329" t="str">
        <f t="shared" si="12"/>
        <v>2015-10</v>
      </c>
      <c r="AB329" s="36">
        <v>40653.0</v>
      </c>
      <c r="AC329" s="4">
        <v>0.803980184526</v>
      </c>
      <c r="AD329" s="47">
        <v>42542.0</v>
      </c>
      <c r="AE329" t="str">
        <f t="shared" si="14"/>
        <v>2011-04</v>
      </c>
      <c r="AF329" t="str">
        <f t="shared" si="15"/>
        <v>2016-06</v>
      </c>
      <c r="AG329" s="36">
        <v>41589.0</v>
      </c>
      <c r="AH329" s="4">
        <v>0.740017977911</v>
      </c>
      <c r="AJ329" s="48" t="str">
        <f t="shared" si="16"/>
        <v>2013-11</v>
      </c>
      <c r="AL329" s="36">
        <v>41362.0</v>
      </c>
      <c r="AM329" s="4">
        <v>0.674728367616</v>
      </c>
      <c r="AN329" s="47">
        <v>42536.0</v>
      </c>
      <c r="AO329" s="49" t="str">
        <f t="shared" si="18"/>
        <v>2013-03</v>
      </c>
      <c r="AP329" t="str">
        <f t="shared" si="19"/>
        <v>2016-06</v>
      </c>
    </row>
    <row r="330">
      <c r="A330" s="36">
        <v>40664.0</v>
      </c>
      <c r="B330" s="34">
        <v>0.639736831069</v>
      </c>
      <c r="C330" s="36">
        <v>41710.0</v>
      </c>
      <c r="D330" t="str">
        <f t="shared" si="6"/>
        <v>2011-05</v>
      </c>
      <c r="E330" s="44" t="str">
        <f t="shared" si="7"/>
        <v>2014-03</v>
      </c>
      <c r="F330" s="63"/>
      <c r="G330" s="36">
        <v>41104.0</v>
      </c>
      <c r="H330" s="34">
        <v>0.730725863285</v>
      </c>
      <c r="J330" t="str">
        <f t="shared" si="8"/>
        <v>2012-07</v>
      </c>
      <c r="K330" s="44"/>
      <c r="L330" s="46">
        <v>41416.0</v>
      </c>
      <c r="M330" s="4">
        <v>0.65347153699</v>
      </c>
      <c r="N330" s="36">
        <v>42802.0</v>
      </c>
      <c r="O330" t="str">
        <f t="shared" si="10"/>
        <v>2013-05</v>
      </c>
      <c r="P330" t="str">
        <f t="shared" si="11"/>
        <v>2017-03</v>
      </c>
      <c r="Q330" s="36">
        <v>42306.0</v>
      </c>
      <c r="R330" s="4">
        <v>0.652149568542</v>
      </c>
      <c r="T330" t="str">
        <f t="shared" si="12"/>
        <v>2015-10</v>
      </c>
      <c r="AB330" s="36">
        <v>40659.0</v>
      </c>
      <c r="AC330" s="4">
        <v>0.716463531043</v>
      </c>
      <c r="AD330" s="47">
        <v>42560.0</v>
      </c>
      <c r="AE330" t="str">
        <f t="shared" si="14"/>
        <v>2011-04</v>
      </c>
      <c r="AF330" t="str">
        <f t="shared" si="15"/>
        <v>2016-07</v>
      </c>
      <c r="AG330" s="36">
        <v>41590.0</v>
      </c>
      <c r="AH330" s="4">
        <v>0.597747550433</v>
      </c>
      <c r="AJ330" s="48" t="str">
        <f t="shared" si="16"/>
        <v>2013-11</v>
      </c>
      <c r="AL330" s="36">
        <v>41363.0</v>
      </c>
      <c r="AM330" s="4">
        <v>0.694811795397</v>
      </c>
      <c r="AN330" s="47">
        <v>42551.0</v>
      </c>
      <c r="AO330" s="49" t="str">
        <f t="shared" si="18"/>
        <v>2013-03</v>
      </c>
      <c r="AP330" t="str">
        <f t="shared" si="19"/>
        <v>2016-06</v>
      </c>
    </row>
    <row r="331">
      <c r="A331" s="36">
        <v>40665.0</v>
      </c>
      <c r="B331" s="34">
        <v>0.656565382256</v>
      </c>
      <c r="C331" s="36">
        <v>41761.0</v>
      </c>
      <c r="D331" t="str">
        <f t="shared" si="6"/>
        <v>2011-05</v>
      </c>
      <c r="E331" s="44" t="str">
        <f t="shared" si="7"/>
        <v>2014-05</v>
      </c>
      <c r="F331" s="63"/>
      <c r="G331" s="36">
        <v>41105.0</v>
      </c>
      <c r="H331" s="34">
        <v>0.70213898108</v>
      </c>
      <c r="J331" t="str">
        <f t="shared" si="8"/>
        <v>2012-07</v>
      </c>
      <c r="K331" s="44"/>
      <c r="L331" s="46">
        <v>41417.0</v>
      </c>
      <c r="M331" s="4">
        <v>0.756466187052</v>
      </c>
      <c r="N331" s="36">
        <v>42809.0</v>
      </c>
      <c r="O331" t="str">
        <f t="shared" si="10"/>
        <v>2013-05</v>
      </c>
      <c r="P331" t="str">
        <f t="shared" si="11"/>
        <v>2017-03</v>
      </c>
      <c r="Q331" s="36">
        <v>42307.0</v>
      </c>
      <c r="R331" s="4">
        <v>0.74032675606</v>
      </c>
      <c r="T331" t="str">
        <f t="shared" si="12"/>
        <v>2015-10</v>
      </c>
      <c r="AB331" s="36">
        <v>40660.0</v>
      </c>
      <c r="AC331" s="4">
        <v>0.665231319902</v>
      </c>
      <c r="AD331" s="47">
        <v>42584.0</v>
      </c>
      <c r="AE331" t="str">
        <f t="shared" si="14"/>
        <v>2011-04</v>
      </c>
      <c r="AF331" t="str">
        <f t="shared" si="15"/>
        <v>2016-08</v>
      </c>
      <c r="AG331" s="36">
        <v>41596.0</v>
      </c>
      <c r="AH331" s="4">
        <v>0.636203490859</v>
      </c>
      <c r="AJ331" s="48" t="str">
        <f t="shared" si="16"/>
        <v>2013-11</v>
      </c>
      <c r="AL331" s="36">
        <v>41369.0</v>
      </c>
      <c r="AM331" s="4">
        <v>0.737395597837</v>
      </c>
      <c r="AN331" s="47">
        <v>42581.0</v>
      </c>
      <c r="AO331" s="49" t="str">
        <f t="shared" si="18"/>
        <v>2013-04</v>
      </c>
      <c r="AP331" t="str">
        <f t="shared" si="19"/>
        <v>2016-07</v>
      </c>
    </row>
    <row r="332">
      <c r="A332" s="36">
        <v>40671.0</v>
      </c>
      <c r="B332" s="34">
        <v>0.785281328671</v>
      </c>
      <c r="C332" s="36">
        <v>41907.0</v>
      </c>
      <c r="D332" t="str">
        <f t="shared" si="6"/>
        <v>2011-05</v>
      </c>
      <c r="E332" s="44" t="str">
        <f t="shared" si="7"/>
        <v>2014-09</v>
      </c>
      <c r="F332" s="63"/>
      <c r="G332" s="36">
        <v>41106.0</v>
      </c>
      <c r="H332" s="34">
        <v>0.684767899607</v>
      </c>
      <c r="J332" t="str">
        <f t="shared" si="8"/>
        <v>2012-07</v>
      </c>
      <c r="K332" s="44"/>
      <c r="L332" s="46">
        <v>41423.0</v>
      </c>
      <c r="M332" s="4">
        <v>0.64564897786</v>
      </c>
      <c r="N332" s="36">
        <v>42832.0</v>
      </c>
      <c r="O332" t="str">
        <f t="shared" si="10"/>
        <v>2013-05</v>
      </c>
      <c r="P332" t="str">
        <f t="shared" si="11"/>
        <v>2017-04</v>
      </c>
      <c r="Q332" s="36">
        <v>42313.0</v>
      </c>
      <c r="R332" s="4">
        <v>0.656388948121</v>
      </c>
      <c r="T332" t="str">
        <f t="shared" si="12"/>
        <v>2015-11</v>
      </c>
      <c r="AB332" s="36">
        <v>40666.0</v>
      </c>
      <c r="AC332" s="4">
        <v>0.743154735139</v>
      </c>
      <c r="AD332" s="47">
        <v>42595.0</v>
      </c>
      <c r="AE332" t="str">
        <f t="shared" si="14"/>
        <v>2011-05</v>
      </c>
      <c r="AF332" t="str">
        <f t="shared" si="15"/>
        <v>2016-08</v>
      </c>
      <c r="AG332" s="36">
        <v>41597.0</v>
      </c>
      <c r="AH332" s="4">
        <v>0.534102449477</v>
      </c>
      <c r="AJ332" s="48" t="str">
        <f t="shared" si="16"/>
        <v>2013-11</v>
      </c>
      <c r="AL332" s="36">
        <v>41370.0</v>
      </c>
      <c r="AM332" s="4">
        <v>0.941721664563</v>
      </c>
      <c r="AN332" s="47">
        <v>42616.0</v>
      </c>
      <c r="AO332" s="49" t="str">
        <f t="shared" si="18"/>
        <v>2013-04</v>
      </c>
      <c r="AP332" t="str">
        <f t="shared" si="19"/>
        <v>2016-09</v>
      </c>
    </row>
    <row r="333">
      <c r="A333" s="36">
        <v>40672.0</v>
      </c>
      <c r="B333" s="34">
        <v>0.878455860357</v>
      </c>
      <c r="C333" s="36">
        <v>42024.0</v>
      </c>
      <c r="D333" t="str">
        <f t="shared" si="6"/>
        <v>2011-05</v>
      </c>
      <c r="E333" s="44" t="str">
        <f t="shared" si="7"/>
        <v>2015-01</v>
      </c>
      <c r="F333" s="63"/>
      <c r="G333" s="36">
        <v>41112.0</v>
      </c>
      <c r="H333" s="34">
        <v>0.685935602647</v>
      </c>
      <c r="J333" t="str">
        <f t="shared" si="8"/>
        <v>2012-07</v>
      </c>
      <c r="K333" s="44"/>
      <c r="L333" s="46">
        <v>41424.0</v>
      </c>
      <c r="M333" s="4">
        <v>0.875710842213</v>
      </c>
      <c r="N333" s="36">
        <v>42852.0</v>
      </c>
      <c r="O333" t="str">
        <f t="shared" si="10"/>
        <v>2013-05</v>
      </c>
      <c r="P333" t="str">
        <f t="shared" si="11"/>
        <v>2017-04</v>
      </c>
      <c r="Q333" s="36">
        <v>42314.0</v>
      </c>
      <c r="R333" s="4">
        <v>0.593546990058</v>
      </c>
      <c r="T333" t="str">
        <f t="shared" si="12"/>
        <v>2015-11</v>
      </c>
      <c r="AB333" s="36">
        <v>40667.0</v>
      </c>
      <c r="AC333" s="4">
        <v>0.761051608114</v>
      </c>
      <c r="AD333" s="47">
        <v>42588.0</v>
      </c>
      <c r="AE333" t="str">
        <f t="shared" si="14"/>
        <v>2011-05</v>
      </c>
      <c r="AF333" t="str">
        <f t="shared" si="15"/>
        <v>2016-08</v>
      </c>
      <c r="AG333" s="36">
        <v>41603.0</v>
      </c>
      <c r="AH333" s="4">
        <v>0.677798588651</v>
      </c>
      <c r="AJ333" s="48" t="str">
        <f t="shared" si="16"/>
        <v>2013-11</v>
      </c>
      <c r="AL333" s="36">
        <v>41376.0</v>
      </c>
      <c r="AM333" s="4">
        <v>0.708017996975</v>
      </c>
      <c r="AN333" s="47">
        <v>42646.0</v>
      </c>
      <c r="AO333" s="49" t="str">
        <f t="shared" si="18"/>
        <v>2013-04</v>
      </c>
      <c r="AP333" t="str">
        <f t="shared" si="19"/>
        <v>2016-10</v>
      </c>
    </row>
    <row r="334">
      <c r="A334" s="36">
        <v>40678.0</v>
      </c>
      <c r="B334" s="34">
        <v>0.622356135625</v>
      </c>
      <c r="C334" s="36">
        <v>42034.0</v>
      </c>
      <c r="D334" t="str">
        <f t="shared" si="6"/>
        <v>2011-05</v>
      </c>
      <c r="E334" s="44" t="str">
        <f t="shared" si="7"/>
        <v>2015-01</v>
      </c>
      <c r="F334" s="63"/>
      <c r="G334" s="36">
        <v>41113.0</v>
      </c>
      <c r="H334" s="34">
        <v>0.716390172142</v>
      </c>
      <c r="J334" t="str">
        <f t="shared" si="8"/>
        <v>2012-07</v>
      </c>
      <c r="K334" s="44"/>
      <c r="L334" s="46">
        <v>41430.0</v>
      </c>
      <c r="M334" s="4">
        <v>0.735129287452</v>
      </c>
      <c r="N334" s="36">
        <v>42809.0</v>
      </c>
      <c r="O334" t="str">
        <f t="shared" si="10"/>
        <v>2013-06</v>
      </c>
      <c r="P334" t="str">
        <f t="shared" si="11"/>
        <v>2017-03</v>
      </c>
      <c r="Q334" s="36">
        <v>42319.0</v>
      </c>
      <c r="R334" s="4">
        <v>0.794770608059</v>
      </c>
      <c r="T334" t="str">
        <f t="shared" si="12"/>
        <v>2015-11</v>
      </c>
      <c r="AB334" s="36">
        <v>40673.0</v>
      </c>
      <c r="AC334" s="4">
        <v>0.569589747146</v>
      </c>
      <c r="AD334" s="47">
        <v>42561.0</v>
      </c>
      <c r="AE334" t="str">
        <f t="shared" si="14"/>
        <v>2011-05</v>
      </c>
      <c r="AF334" t="str">
        <f t="shared" si="15"/>
        <v>2016-07</v>
      </c>
      <c r="AG334" s="36">
        <v>41604.0</v>
      </c>
      <c r="AH334" s="4">
        <v>0.595977214447</v>
      </c>
      <c r="AJ334" s="48" t="str">
        <f t="shared" si="16"/>
        <v>2013-11</v>
      </c>
      <c r="AL334" s="36">
        <v>41377.0</v>
      </c>
      <c r="AM334" s="4">
        <v>0.975268611317</v>
      </c>
      <c r="AN334" s="47">
        <v>42670.0</v>
      </c>
      <c r="AO334" s="49" t="str">
        <f t="shared" si="18"/>
        <v>2013-04</v>
      </c>
      <c r="AP334" t="str">
        <f t="shared" si="19"/>
        <v>2016-10</v>
      </c>
    </row>
    <row r="335">
      <c r="A335" s="36">
        <v>40679.0</v>
      </c>
      <c r="B335" s="34">
        <v>0.628575741148</v>
      </c>
      <c r="C335" s="36">
        <v>42041.0</v>
      </c>
      <c r="D335" t="str">
        <f t="shared" si="6"/>
        <v>2011-05</v>
      </c>
      <c r="E335" s="44" t="str">
        <f t="shared" si="7"/>
        <v>2015-02</v>
      </c>
      <c r="F335" s="63"/>
      <c r="G335" s="36">
        <v>41118.0</v>
      </c>
      <c r="H335" s="34">
        <v>0.757376491774</v>
      </c>
      <c r="J335" t="str">
        <f t="shared" si="8"/>
        <v>2012-07</v>
      </c>
      <c r="K335" s="44"/>
      <c r="L335" s="46">
        <v>41431.0</v>
      </c>
      <c r="M335" s="4">
        <v>0.627269056866</v>
      </c>
      <c r="N335" s="36">
        <v>42832.0</v>
      </c>
      <c r="O335" t="str">
        <f t="shared" si="10"/>
        <v>2013-06</v>
      </c>
      <c r="P335" t="str">
        <f t="shared" si="11"/>
        <v>2017-04</v>
      </c>
      <c r="Q335" s="36">
        <v>42320.0</v>
      </c>
      <c r="R335" s="4">
        <v>0.805972257451</v>
      </c>
      <c r="T335" t="str">
        <f t="shared" si="12"/>
        <v>2015-11</v>
      </c>
      <c r="AB335" s="36">
        <v>40674.0</v>
      </c>
      <c r="AC335" s="4">
        <v>0.700897385239</v>
      </c>
      <c r="AD335" s="47">
        <v>42568.0</v>
      </c>
      <c r="AE335" t="str">
        <f t="shared" si="14"/>
        <v>2011-05</v>
      </c>
      <c r="AF335" t="str">
        <f t="shared" si="15"/>
        <v>2016-07</v>
      </c>
      <c r="AG335" s="36">
        <v>41610.0</v>
      </c>
      <c r="AH335" s="4">
        <v>0.674843667369</v>
      </c>
      <c r="AJ335" s="48" t="str">
        <f t="shared" si="16"/>
        <v>2013-12</v>
      </c>
      <c r="AL335" s="36">
        <v>41383.0</v>
      </c>
      <c r="AM335" s="4">
        <v>0.718598369936</v>
      </c>
      <c r="AN335" s="47">
        <v>42695.0</v>
      </c>
      <c r="AO335" s="49" t="str">
        <f t="shared" si="18"/>
        <v>2013-04</v>
      </c>
      <c r="AP335" t="str">
        <f t="shared" si="19"/>
        <v>2016-11</v>
      </c>
    </row>
    <row r="336">
      <c r="A336" s="36">
        <v>40685.0</v>
      </c>
      <c r="B336" s="34">
        <v>0.685428437184</v>
      </c>
      <c r="C336" s="36">
        <v>42087.0</v>
      </c>
      <c r="D336" t="str">
        <f t="shared" si="6"/>
        <v>2011-05</v>
      </c>
      <c r="E336" s="44" t="str">
        <f t="shared" si="7"/>
        <v>2015-03</v>
      </c>
      <c r="F336" s="63"/>
      <c r="G336" s="36">
        <v>41119.0</v>
      </c>
      <c r="H336" s="34">
        <v>0.683647366412</v>
      </c>
      <c r="J336" t="str">
        <f t="shared" si="8"/>
        <v>2012-07</v>
      </c>
      <c r="K336" s="44"/>
      <c r="L336" s="46">
        <v>41437.0</v>
      </c>
      <c r="M336" s="4">
        <v>0.719697108183</v>
      </c>
      <c r="N336" s="36">
        <v>42852.0</v>
      </c>
      <c r="O336" t="str">
        <f t="shared" si="10"/>
        <v>2013-06</v>
      </c>
      <c r="P336" t="str">
        <f t="shared" si="11"/>
        <v>2017-04</v>
      </c>
      <c r="Q336" s="36">
        <v>42321.0</v>
      </c>
      <c r="R336" s="4">
        <v>0.6217246576</v>
      </c>
      <c r="T336" t="str">
        <f t="shared" si="12"/>
        <v>2015-11</v>
      </c>
      <c r="AB336" s="36">
        <v>40680.0</v>
      </c>
      <c r="AC336" s="4">
        <v>0.768318859608</v>
      </c>
      <c r="AD336" s="47">
        <v>42578.0</v>
      </c>
      <c r="AE336" t="str">
        <f t="shared" si="14"/>
        <v>2011-05</v>
      </c>
      <c r="AF336" t="str">
        <f t="shared" si="15"/>
        <v>2016-07</v>
      </c>
      <c r="AG336" s="36">
        <v>41611.0</v>
      </c>
      <c r="AH336" s="4">
        <v>0.552717058524</v>
      </c>
      <c r="AJ336" s="48" t="str">
        <f t="shared" si="16"/>
        <v>2013-12</v>
      </c>
      <c r="AL336" s="36">
        <v>41384.0</v>
      </c>
      <c r="AM336" s="4">
        <v>0.739828544903</v>
      </c>
      <c r="AN336" s="47">
        <v>42717.0</v>
      </c>
      <c r="AO336" s="49" t="str">
        <f t="shared" si="18"/>
        <v>2013-04</v>
      </c>
      <c r="AP336" t="str">
        <f t="shared" si="19"/>
        <v>2016-12</v>
      </c>
    </row>
    <row r="337">
      <c r="A337" s="36">
        <v>40686.0</v>
      </c>
      <c r="B337" s="34">
        <v>0.778587591748</v>
      </c>
      <c r="C337" s="36">
        <v>42094.0</v>
      </c>
      <c r="D337" t="str">
        <f t="shared" si="6"/>
        <v>2011-05</v>
      </c>
      <c r="E337" s="44" t="str">
        <f t="shared" si="7"/>
        <v>2015-03</v>
      </c>
      <c r="F337" s="63"/>
      <c r="G337" s="36">
        <v>41120.0</v>
      </c>
      <c r="H337" s="34">
        <v>0.781455252529</v>
      </c>
      <c r="J337" t="str">
        <f t="shared" si="8"/>
        <v>2012-07</v>
      </c>
      <c r="K337" s="44"/>
      <c r="L337" s="46">
        <v>41438.0</v>
      </c>
      <c r="M337" s="4">
        <v>0.821263768668</v>
      </c>
      <c r="N337" s="36">
        <v>42872.0</v>
      </c>
      <c r="O337" t="str">
        <f t="shared" si="10"/>
        <v>2013-06</v>
      </c>
      <c r="P337" t="str">
        <f t="shared" si="11"/>
        <v>2017-05</v>
      </c>
      <c r="Q337" s="36">
        <v>42326.0</v>
      </c>
      <c r="R337" s="4">
        <v>0.690916491851</v>
      </c>
      <c r="T337" t="str">
        <f t="shared" si="12"/>
        <v>2015-11</v>
      </c>
      <c r="AB337" s="36">
        <v>40681.0</v>
      </c>
      <c r="AC337" s="4">
        <v>0.69248237231</v>
      </c>
      <c r="AD337" s="47">
        <v>42595.0</v>
      </c>
      <c r="AE337" t="str">
        <f t="shared" si="14"/>
        <v>2011-05</v>
      </c>
      <c r="AF337" t="str">
        <f t="shared" si="15"/>
        <v>2016-08</v>
      </c>
      <c r="AG337" s="36">
        <v>41617.0</v>
      </c>
      <c r="AH337" s="4">
        <v>0.680977432573</v>
      </c>
      <c r="AJ337" s="48" t="str">
        <f t="shared" si="16"/>
        <v>2013-12</v>
      </c>
      <c r="AL337" s="36">
        <v>41390.0</v>
      </c>
      <c r="AM337" s="4">
        <v>0.714878475282</v>
      </c>
      <c r="AN337" s="47">
        <v>42747.0</v>
      </c>
      <c r="AO337" s="49" t="str">
        <f t="shared" si="18"/>
        <v>2013-04</v>
      </c>
      <c r="AP337" t="str">
        <f t="shared" si="19"/>
        <v>2017-01</v>
      </c>
    </row>
    <row r="338">
      <c r="A338" s="36">
        <v>40692.0</v>
      </c>
      <c r="B338" s="34">
        <v>0.630643059486</v>
      </c>
      <c r="C338" s="36">
        <v>42138.0</v>
      </c>
      <c r="D338" t="str">
        <f t="shared" si="6"/>
        <v>2011-05</v>
      </c>
      <c r="E338" s="44" t="str">
        <f t="shared" si="7"/>
        <v>2015-05</v>
      </c>
      <c r="F338" s="63"/>
      <c r="G338" s="36">
        <v>41125.0</v>
      </c>
      <c r="H338" s="34">
        <v>0.525653043512</v>
      </c>
      <c r="J338" t="str">
        <f t="shared" si="8"/>
        <v>2012-08</v>
      </c>
      <c r="K338" s="44"/>
      <c r="L338" s="46">
        <v>41444.0</v>
      </c>
      <c r="M338" s="4">
        <v>0.685376610397</v>
      </c>
      <c r="N338" s="36">
        <v>42873.0</v>
      </c>
      <c r="O338" t="str">
        <f t="shared" si="10"/>
        <v>2013-06</v>
      </c>
      <c r="P338" t="str">
        <f t="shared" si="11"/>
        <v>2017-05</v>
      </c>
      <c r="Q338" s="36">
        <v>42327.0</v>
      </c>
      <c r="R338" s="4">
        <v>0.733933763566</v>
      </c>
      <c r="T338" t="str">
        <f t="shared" si="12"/>
        <v>2015-11</v>
      </c>
      <c r="AB338" s="36">
        <v>40687.0</v>
      </c>
      <c r="AC338" s="4">
        <v>0.764615180559</v>
      </c>
      <c r="AD338" s="47">
        <v>42602.0</v>
      </c>
      <c r="AE338" t="str">
        <f t="shared" si="14"/>
        <v>2011-05</v>
      </c>
      <c r="AF338" t="str">
        <f t="shared" si="15"/>
        <v>2016-08</v>
      </c>
      <c r="AG338" s="36">
        <v>41618.0</v>
      </c>
      <c r="AH338" s="4">
        <v>0.742612516358</v>
      </c>
      <c r="AJ338" s="48" t="str">
        <f t="shared" si="16"/>
        <v>2013-12</v>
      </c>
      <c r="AL338" s="36">
        <v>41391.0</v>
      </c>
      <c r="AM338" s="4">
        <v>0.69318830136</v>
      </c>
      <c r="AN338" s="47">
        <v>42763.0</v>
      </c>
      <c r="AO338" s="49" t="str">
        <f t="shared" si="18"/>
        <v>2013-04</v>
      </c>
      <c r="AP338" t="str">
        <f t="shared" si="19"/>
        <v>2017-01</v>
      </c>
    </row>
    <row r="339">
      <c r="A339" s="36">
        <v>40693.0</v>
      </c>
      <c r="B339" s="34">
        <v>0.811264050056</v>
      </c>
      <c r="C339" s="36">
        <v>42147.0</v>
      </c>
      <c r="D339" t="str">
        <f t="shared" si="6"/>
        <v>2011-05</v>
      </c>
      <c r="E339" s="44" t="str">
        <f t="shared" si="7"/>
        <v>2015-05</v>
      </c>
      <c r="F339" s="63"/>
      <c r="G339" s="36">
        <v>41126.0</v>
      </c>
      <c r="H339" s="34">
        <v>0.662016327351</v>
      </c>
      <c r="J339" t="str">
        <f t="shared" si="8"/>
        <v>2012-08</v>
      </c>
      <c r="K339" s="44"/>
      <c r="L339" s="46">
        <v>41445.0</v>
      </c>
      <c r="M339" s="4">
        <v>0.490733005994</v>
      </c>
      <c r="N339" s="36">
        <v>42886.0</v>
      </c>
      <c r="O339" t="str">
        <f t="shared" si="10"/>
        <v>2013-06</v>
      </c>
      <c r="P339" t="str">
        <f t="shared" si="11"/>
        <v>2017-05</v>
      </c>
      <c r="Q339" s="36">
        <v>42333.0</v>
      </c>
      <c r="R339" s="4">
        <v>0.643784216247</v>
      </c>
      <c r="T339" t="str">
        <f t="shared" si="12"/>
        <v>2015-11</v>
      </c>
      <c r="AB339" s="36">
        <v>40688.0</v>
      </c>
      <c r="AC339" s="4">
        <v>0.767730743262</v>
      </c>
      <c r="AD339" s="47">
        <v>42604.0</v>
      </c>
      <c r="AE339" t="str">
        <f t="shared" si="14"/>
        <v>2011-05</v>
      </c>
      <c r="AF339" t="str">
        <f t="shared" si="15"/>
        <v>2016-08</v>
      </c>
      <c r="AG339" s="36">
        <v>41624.0</v>
      </c>
      <c r="AH339" s="4">
        <v>0.654567642754</v>
      </c>
      <c r="AJ339" s="48" t="str">
        <f t="shared" si="16"/>
        <v>2013-12</v>
      </c>
      <c r="AL339" s="36">
        <v>41397.0</v>
      </c>
      <c r="AM339" s="4">
        <v>0.649308600582</v>
      </c>
      <c r="AN339" s="47">
        <v>42670.0</v>
      </c>
      <c r="AO339" s="49" t="str">
        <f t="shared" si="18"/>
        <v>2013-05</v>
      </c>
      <c r="AP339" t="str">
        <f t="shared" si="19"/>
        <v>2016-10</v>
      </c>
    </row>
    <row r="340">
      <c r="A340" s="36">
        <v>40699.0</v>
      </c>
      <c r="B340" s="34">
        <v>0.672662305846</v>
      </c>
      <c r="C340" s="36">
        <v>42177.0</v>
      </c>
      <c r="D340" t="str">
        <f t="shared" si="6"/>
        <v>2011-06</v>
      </c>
      <c r="E340" s="44" t="str">
        <f t="shared" si="7"/>
        <v>2015-06</v>
      </c>
      <c r="F340" s="63"/>
      <c r="G340" s="36">
        <v>41127.0</v>
      </c>
      <c r="H340" s="34">
        <v>0.645160683546</v>
      </c>
      <c r="J340" t="str">
        <f t="shared" si="8"/>
        <v>2012-08</v>
      </c>
      <c r="K340" s="44"/>
      <c r="L340" s="46">
        <v>41451.0</v>
      </c>
      <c r="M340" s="4">
        <v>0.702828611072</v>
      </c>
      <c r="N340" s="36">
        <v>42921.0</v>
      </c>
      <c r="O340" t="str">
        <f t="shared" si="10"/>
        <v>2013-06</v>
      </c>
      <c r="P340" t="str">
        <f t="shared" si="11"/>
        <v>2017-07</v>
      </c>
      <c r="Q340" s="36">
        <v>42334.0</v>
      </c>
      <c r="R340" s="4">
        <v>0.829452421613</v>
      </c>
      <c r="T340" t="str">
        <f t="shared" si="12"/>
        <v>2015-11</v>
      </c>
      <c r="AB340" s="36">
        <v>40694.0</v>
      </c>
      <c r="AC340" s="4">
        <v>0.747879212435</v>
      </c>
      <c r="AD340" s="47">
        <v>42616.0</v>
      </c>
      <c r="AE340" t="str">
        <f t="shared" si="14"/>
        <v>2011-05</v>
      </c>
      <c r="AF340" t="str">
        <f t="shared" si="15"/>
        <v>2016-09</v>
      </c>
      <c r="AG340" s="36">
        <v>41625.0</v>
      </c>
      <c r="AH340" s="4">
        <v>0.809394013746</v>
      </c>
      <c r="AJ340" s="48" t="str">
        <f t="shared" si="16"/>
        <v>2013-12</v>
      </c>
      <c r="AL340" s="36">
        <v>41398.0</v>
      </c>
      <c r="AM340" s="4">
        <v>0.779790862787</v>
      </c>
      <c r="AN340" s="47">
        <v>42691.0</v>
      </c>
      <c r="AO340" s="49" t="str">
        <f t="shared" si="18"/>
        <v>2013-05</v>
      </c>
      <c r="AP340" t="str">
        <f t="shared" si="19"/>
        <v>2016-11</v>
      </c>
    </row>
    <row r="341">
      <c r="A341" s="36">
        <v>40700.0</v>
      </c>
      <c r="B341" s="34">
        <v>0.527020338838</v>
      </c>
      <c r="C341" s="36">
        <v>42189.0</v>
      </c>
      <c r="D341" t="str">
        <f t="shared" si="6"/>
        <v>2011-06</v>
      </c>
      <c r="E341" s="44" t="str">
        <f t="shared" si="7"/>
        <v>2015-07</v>
      </c>
      <c r="F341" s="63"/>
      <c r="G341" s="36">
        <v>41132.0</v>
      </c>
      <c r="H341" s="34">
        <v>0.71192537702</v>
      </c>
      <c r="J341" t="str">
        <f t="shared" si="8"/>
        <v>2012-08</v>
      </c>
      <c r="K341" s="44"/>
      <c r="L341" s="46">
        <v>41452.0</v>
      </c>
      <c r="M341" s="4">
        <v>0.678466175122</v>
      </c>
      <c r="N341" s="36">
        <v>42852.0</v>
      </c>
      <c r="O341" t="str">
        <f t="shared" si="10"/>
        <v>2013-06</v>
      </c>
      <c r="P341" t="str">
        <f t="shared" si="11"/>
        <v>2017-04</v>
      </c>
      <c r="Q341" s="36">
        <v>42340.0</v>
      </c>
      <c r="R341" s="4">
        <v>0.653442557908</v>
      </c>
      <c r="T341" t="str">
        <f t="shared" si="12"/>
        <v>2015-12</v>
      </c>
      <c r="AB341" s="36">
        <v>40695.0</v>
      </c>
      <c r="AC341" s="4">
        <v>0.674803476166</v>
      </c>
      <c r="AD341" s="47">
        <v>42638.0</v>
      </c>
      <c r="AE341" t="str">
        <f t="shared" si="14"/>
        <v>2011-06</v>
      </c>
      <c r="AF341" t="str">
        <f t="shared" si="15"/>
        <v>2016-09</v>
      </c>
      <c r="AG341" s="36">
        <v>41631.0</v>
      </c>
      <c r="AH341" s="4">
        <v>0.565116272771</v>
      </c>
      <c r="AJ341" s="48" t="str">
        <f t="shared" si="16"/>
        <v>2013-12</v>
      </c>
      <c r="AL341" s="36">
        <v>41404.0</v>
      </c>
      <c r="AM341" s="4">
        <v>0.726668554091</v>
      </c>
      <c r="AN341" s="47">
        <v>42701.0</v>
      </c>
      <c r="AO341" s="49" t="str">
        <f t="shared" si="18"/>
        <v>2013-05</v>
      </c>
      <c r="AP341" t="str">
        <f t="shared" si="19"/>
        <v>2016-11</v>
      </c>
    </row>
    <row r="342">
      <c r="A342" s="36">
        <v>40706.0</v>
      </c>
      <c r="B342" s="34">
        <v>0.689292068596</v>
      </c>
      <c r="C342" s="36">
        <v>42194.0</v>
      </c>
      <c r="D342" t="str">
        <f t="shared" si="6"/>
        <v>2011-06</v>
      </c>
      <c r="E342" s="44" t="str">
        <f t="shared" si="7"/>
        <v>2015-07</v>
      </c>
      <c r="F342" s="63"/>
      <c r="G342" s="36">
        <v>41133.0</v>
      </c>
      <c r="H342" s="34">
        <v>0.596728551211</v>
      </c>
      <c r="J342" t="str">
        <f t="shared" si="8"/>
        <v>2012-08</v>
      </c>
      <c r="K342" s="44"/>
      <c r="L342" s="46">
        <v>41458.0</v>
      </c>
      <c r="M342" s="4">
        <v>0.759169751262</v>
      </c>
      <c r="N342" s="36">
        <v>42865.0</v>
      </c>
      <c r="O342" t="str">
        <f t="shared" si="10"/>
        <v>2013-07</v>
      </c>
      <c r="P342" t="str">
        <f t="shared" si="11"/>
        <v>2017-05</v>
      </c>
      <c r="Q342" s="36">
        <v>42341.0</v>
      </c>
      <c r="R342" s="4">
        <v>0.65668480717</v>
      </c>
      <c r="T342" t="str">
        <f t="shared" si="12"/>
        <v>2015-12</v>
      </c>
      <c r="AB342" s="36">
        <v>40701.0</v>
      </c>
      <c r="AC342" s="4">
        <v>0.747795325575</v>
      </c>
      <c r="AD342" s="47">
        <v>42643.0</v>
      </c>
      <c r="AE342" t="str">
        <f t="shared" si="14"/>
        <v>2011-06</v>
      </c>
      <c r="AF342" t="str">
        <f t="shared" si="15"/>
        <v>2016-09</v>
      </c>
      <c r="AG342" s="36">
        <v>41632.0</v>
      </c>
      <c r="AH342" s="4">
        <v>0.668939199223</v>
      </c>
      <c r="AJ342" s="48" t="str">
        <f t="shared" si="16"/>
        <v>2013-12</v>
      </c>
      <c r="AL342" s="36">
        <v>41411.0</v>
      </c>
      <c r="AM342" s="4">
        <v>0.782527264519</v>
      </c>
      <c r="AN342" s="47">
        <v>42704.0</v>
      </c>
      <c r="AO342" s="49" t="str">
        <f t="shared" si="18"/>
        <v>2013-05</v>
      </c>
      <c r="AP342" t="str">
        <f t="shared" si="19"/>
        <v>2016-11</v>
      </c>
    </row>
    <row r="343">
      <c r="A343" s="36">
        <v>40707.0</v>
      </c>
      <c r="B343" s="34">
        <v>0.752122979433</v>
      </c>
      <c r="C343" s="36">
        <v>42327.0</v>
      </c>
      <c r="D343" t="str">
        <f t="shared" si="6"/>
        <v>2011-06</v>
      </c>
      <c r="E343" s="44" t="str">
        <f t="shared" si="7"/>
        <v>2015-11</v>
      </c>
      <c r="F343" s="63"/>
      <c r="G343" s="36">
        <v>41134.0</v>
      </c>
      <c r="H343" s="34">
        <v>0.735903229727</v>
      </c>
      <c r="J343" t="str">
        <f t="shared" si="8"/>
        <v>2012-08</v>
      </c>
      <c r="K343" s="44"/>
      <c r="L343" s="46">
        <v>41459.0</v>
      </c>
      <c r="M343" s="4">
        <v>0.578668001236</v>
      </c>
      <c r="N343" s="36">
        <v>42886.0</v>
      </c>
      <c r="O343" t="str">
        <f t="shared" si="10"/>
        <v>2013-07</v>
      </c>
      <c r="P343" t="str">
        <f t="shared" si="11"/>
        <v>2017-05</v>
      </c>
      <c r="Q343" s="36">
        <v>42342.0</v>
      </c>
      <c r="R343" s="4">
        <v>0.685174134797</v>
      </c>
      <c r="T343" t="str">
        <f t="shared" si="12"/>
        <v>2015-12</v>
      </c>
      <c r="AB343" s="36">
        <v>40702.0</v>
      </c>
      <c r="AC343" s="4">
        <v>0.675164223089</v>
      </c>
      <c r="AD343" s="47">
        <v>42658.0</v>
      </c>
      <c r="AE343" t="str">
        <f t="shared" si="14"/>
        <v>2011-06</v>
      </c>
      <c r="AF343" t="str">
        <f t="shared" si="15"/>
        <v>2016-10</v>
      </c>
      <c r="AG343" s="36">
        <v>41638.0</v>
      </c>
      <c r="AH343" s="4">
        <v>0.73123282614</v>
      </c>
      <c r="AJ343" s="48" t="str">
        <f t="shared" si="16"/>
        <v>2013-12</v>
      </c>
      <c r="AL343" s="36">
        <v>41412.0</v>
      </c>
      <c r="AM343" s="4">
        <v>0.518354721544</v>
      </c>
      <c r="AN343" s="47">
        <v>42717.0</v>
      </c>
      <c r="AO343" s="49" t="str">
        <f t="shared" si="18"/>
        <v>2013-05</v>
      </c>
      <c r="AP343" t="str">
        <f t="shared" si="19"/>
        <v>2016-12</v>
      </c>
    </row>
    <row r="344">
      <c r="A344" s="36">
        <v>40713.0</v>
      </c>
      <c r="B344" s="34">
        <v>0.605390927161</v>
      </c>
      <c r="C344" s="36">
        <v>42332.0</v>
      </c>
      <c r="D344" t="str">
        <f t="shared" si="6"/>
        <v>2011-06</v>
      </c>
      <c r="E344" s="44" t="str">
        <f t="shared" si="7"/>
        <v>2015-11</v>
      </c>
      <c r="F344" s="63"/>
      <c r="G344" s="36">
        <v>41139.0</v>
      </c>
      <c r="H344" s="34">
        <v>0.66014552379</v>
      </c>
      <c r="J344" t="str">
        <f t="shared" si="8"/>
        <v>2012-08</v>
      </c>
      <c r="K344" s="44"/>
      <c r="L344" s="46">
        <v>41465.0</v>
      </c>
      <c r="M344" s="4">
        <v>0.681331150917</v>
      </c>
      <c r="N344" s="36">
        <v>42921.0</v>
      </c>
      <c r="O344" t="str">
        <f t="shared" si="10"/>
        <v>2013-07</v>
      </c>
      <c r="P344" t="str">
        <f t="shared" si="11"/>
        <v>2017-07</v>
      </c>
      <c r="Q344" s="36">
        <v>42347.0</v>
      </c>
      <c r="R344" s="4">
        <v>0.760908131996</v>
      </c>
      <c r="T344" t="str">
        <f t="shared" si="12"/>
        <v>2015-12</v>
      </c>
      <c r="AB344" s="36">
        <v>40708.0</v>
      </c>
      <c r="AC344" s="4">
        <v>0.739779790259</v>
      </c>
      <c r="AD344" s="47">
        <v>42672.0</v>
      </c>
      <c r="AE344" t="str">
        <f t="shared" si="14"/>
        <v>2011-06</v>
      </c>
      <c r="AF344" t="str">
        <f t="shared" si="15"/>
        <v>2016-10</v>
      </c>
      <c r="AG344" s="36">
        <v>41639.0</v>
      </c>
      <c r="AH344" s="4">
        <v>0.700552159879</v>
      </c>
      <c r="AJ344" s="48" t="str">
        <f t="shared" si="16"/>
        <v>2013-12</v>
      </c>
      <c r="AL344" s="36">
        <v>41418.0</v>
      </c>
      <c r="AM344" s="4">
        <v>0.683583174095</v>
      </c>
      <c r="AN344" s="47">
        <v>42747.0</v>
      </c>
      <c r="AO344" s="49" t="str">
        <f t="shared" si="18"/>
        <v>2013-05</v>
      </c>
      <c r="AP344" t="str">
        <f t="shared" si="19"/>
        <v>2017-01</v>
      </c>
    </row>
    <row r="345">
      <c r="A345" s="36">
        <v>40714.0</v>
      </c>
      <c r="B345" s="34">
        <v>0.585689639794</v>
      </c>
      <c r="C345" s="36">
        <v>42342.0</v>
      </c>
      <c r="D345" t="str">
        <f t="shared" si="6"/>
        <v>2011-06</v>
      </c>
      <c r="E345" s="44" t="str">
        <f t="shared" si="7"/>
        <v>2015-12</v>
      </c>
      <c r="F345" s="63"/>
      <c r="G345" s="36">
        <v>41140.0</v>
      </c>
      <c r="H345" s="34">
        <v>0.614486257656</v>
      </c>
      <c r="J345" t="str">
        <f t="shared" si="8"/>
        <v>2012-08</v>
      </c>
      <c r="K345" s="44"/>
      <c r="L345" s="46">
        <v>41466.0</v>
      </c>
      <c r="M345" s="4">
        <v>0.543352145482</v>
      </c>
      <c r="N345" s="36">
        <v>42930.0</v>
      </c>
      <c r="O345" t="str">
        <f t="shared" si="10"/>
        <v>2013-07</v>
      </c>
      <c r="P345" t="str">
        <f t="shared" si="11"/>
        <v>2017-07</v>
      </c>
      <c r="Q345" s="36">
        <v>42348.0</v>
      </c>
      <c r="R345" s="4">
        <v>0.696593626997</v>
      </c>
      <c r="T345" t="str">
        <f t="shared" si="12"/>
        <v>2015-12</v>
      </c>
      <c r="AB345" s="36">
        <v>40709.0</v>
      </c>
      <c r="AC345" s="4">
        <v>0.786394323109</v>
      </c>
      <c r="AD345" s="47">
        <v>42681.0</v>
      </c>
      <c r="AE345" t="str">
        <f t="shared" si="14"/>
        <v>2011-06</v>
      </c>
      <c r="AF345" t="str">
        <f t="shared" si="15"/>
        <v>2016-11</v>
      </c>
      <c r="AG345" s="36">
        <v>41645.0</v>
      </c>
      <c r="AH345" s="4">
        <v>0.699110766046</v>
      </c>
      <c r="AJ345" s="48" t="str">
        <f t="shared" si="16"/>
        <v>2014-01</v>
      </c>
      <c r="AL345" s="36">
        <v>41419.0</v>
      </c>
      <c r="AM345" s="4">
        <v>0.768496186139</v>
      </c>
      <c r="AN345" s="47">
        <v>42772.0</v>
      </c>
      <c r="AO345" s="49" t="str">
        <f t="shared" si="18"/>
        <v>2013-05</v>
      </c>
      <c r="AP345" t="str">
        <f t="shared" si="19"/>
        <v>2017-02</v>
      </c>
    </row>
    <row r="346">
      <c r="A346" s="36">
        <v>40720.0</v>
      </c>
      <c r="B346" s="34">
        <v>0.731279898341</v>
      </c>
      <c r="C346" s="36">
        <v>42409.0</v>
      </c>
      <c r="D346" t="str">
        <f t="shared" si="6"/>
        <v>2011-06</v>
      </c>
      <c r="E346" s="44" t="str">
        <f t="shared" si="7"/>
        <v>2016-02</v>
      </c>
      <c r="F346" s="63"/>
      <c r="G346" s="36">
        <v>41141.0</v>
      </c>
      <c r="H346" s="34">
        <v>0.613488676364</v>
      </c>
      <c r="J346" t="str">
        <f t="shared" si="8"/>
        <v>2012-08</v>
      </c>
      <c r="K346" s="44"/>
      <c r="L346" s="46">
        <v>41472.0</v>
      </c>
      <c r="M346" s="4">
        <v>0.702666372698</v>
      </c>
      <c r="N346" s="36">
        <v>42921.0</v>
      </c>
      <c r="O346" t="str">
        <f t="shared" si="10"/>
        <v>2013-07</v>
      </c>
      <c r="P346" t="str">
        <f t="shared" si="11"/>
        <v>2017-07</v>
      </c>
      <c r="Q346" s="36">
        <v>42354.0</v>
      </c>
      <c r="R346" s="4">
        <v>0.64528619699</v>
      </c>
      <c r="T346" t="str">
        <f t="shared" si="12"/>
        <v>2015-12</v>
      </c>
      <c r="AB346" s="36">
        <v>40715.0</v>
      </c>
      <c r="AC346" s="4">
        <v>0.744605125551</v>
      </c>
      <c r="AD346" s="47">
        <v>42696.0</v>
      </c>
      <c r="AE346" t="str">
        <f t="shared" si="14"/>
        <v>2011-06</v>
      </c>
      <c r="AF346" t="str">
        <f t="shared" si="15"/>
        <v>2016-11</v>
      </c>
      <c r="AG346" s="36">
        <v>41646.0</v>
      </c>
      <c r="AH346" s="4">
        <v>0.720415349104</v>
      </c>
      <c r="AJ346" s="48" t="str">
        <f t="shared" si="16"/>
        <v>2014-01</v>
      </c>
      <c r="AL346" s="36">
        <v>41425.0</v>
      </c>
      <c r="AM346" s="4">
        <v>0.721506517116</v>
      </c>
      <c r="AN346" s="47">
        <v>42783.0</v>
      </c>
      <c r="AO346" s="49" t="str">
        <f t="shared" si="18"/>
        <v>2013-05</v>
      </c>
      <c r="AP346" t="str">
        <f t="shared" si="19"/>
        <v>2017-02</v>
      </c>
    </row>
    <row r="347">
      <c r="A347" s="36">
        <v>40726.0</v>
      </c>
      <c r="B347" s="34">
        <v>0.919597883439</v>
      </c>
      <c r="C347" s="36">
        <v>42432.0</v>
      </c>
      <c r="D347" t="str">
        <f t="shared" si="6"/>
        <v>2011-07</v>
      </c>
      <c r="E347" s="44" t="str">
        <f t="shared" si="7"/>
        <v>2016-03</v>
      </c>
      <c r="F347" s="63"/>
      <c r="G347" s="36">
        <v>41146.0</v>
      </c>
      <c r="H347" s="34">
        <v>0.720426879371</v>
      </c>
      <c r="J347" t="str">
        <f t="shared" si="8"/>
        <v>2012-08</v>
      </c>
      <c r="K347" s="44"/>
      <c r="L347" s="46">
        <v>41473.0</v>
      </c>
      <c r="M347" s="4">
        <v>0.69412822436</v>
      </c>
      <c r="N347" s="36">
        <v>42937.0</v>
      </c>
      <c r="O347" t="str">
        <f t="shared" si="10"/>
        <v>2013-07</v>
      </c>
      <c r="P347" t="str">
        <f t="shared" si="11"/>
        <v>2017-07</v>
      </c>
      <c r="Q347" s="36">
        <v>42355.0</v>
      </c>
      <c r="R347" s="4">
        <v>0.682541688939</v>
      </c>
      <c r="T347" t="str">
        <f t="shared" si="12"/>
        <v>2015-12</v>
      </c>
      <c r="AB347" s="36">
        <v>40716.0</v>
      </c>
      <c r="AC347" s="4">
        <v>0.702743192714</v>
      </c>
      <c r="AD347" s="47">
        <v>42716.0</v>
      </c>
      <c r="AE347" t="str">
        <f t="shared" si="14"/>
        <v>2011-06</v>
      </c>
      <c r="AF347" t="str">
        <f t="shared" si="15"/>
        <v>2016-12</v>
      </c>
      <c r="AG347" s="36">
        <v>41652.0</v>
      </c>
      <c r="AH347" s="4">
        <v>0.643860857768</v>
      </c>
      <c r="AJ347" s="48" t="str">
        <f t="shared" si="16"/>
        <v>2014-01</v>
      </c>
      <c r="AL347" s="36">
        <v>41426.0</v>
      </c>
      <c r="AM347" s="4">
        <v>0.975268611317</v>
      </c>
      <c r="AN347" s="47">
        <v>42803.0</v>
      </c>
      <c r="AO347" s="49" t="str">
        <f t="shared" si="18"/>
        <v>2013-06</v>
      </c>
      <c r="AP347" t="str">
        <f t="shared" si="19"/>
        <v>2017-03</v>
      </c>
    </row>
    <row r="348">
      <c r="A348" s="36">
        <v>40727.0</v>
      </c>
      <c r="B348" s="34">
        <v>0.736758217631</v>
      </c>
      <c r="C348" s="36">
        <v>42438.0</v>
      </c>
      <c r="D348" t="str">
        <f t="shared" si="6"/>
        <v>2011-07</v>
      </c>
      <c r="E348" s="44" t="str">
        <f t="shared" si="7"/>
        <v>2016-03</v>
      </c>
      <c r="F348" s="63"/>
      <c r="G348" s="36">
        <v>41147.0</v>
      </c>
      <c r="H348" s="34">
        <v>0.759012686282</v>
      </c>
      <c r="J348" t="str">
        <f t="shared" si="8"/>
        <v>2012-08</v>
      </c>
      <c r="K348" s="44"/>
      <c r="L348" s="46">
        <v>41479.0</v>
      </c>
      <c r="M348" s="4">
        <v>0.657029226606</v>
      </c>
      <c r="N348" s="36">
        <v>42955.0</v>
      </c>
      <c r="O348" t="str">
        <f t="shared" si="10"/>
        <v>2013-07</v>
      </c>
      <c r="P348" t="str">
        <f t="shared" si="11"/>
        <v>2017-08</v>
      </c>
      <c r="Q348" s="36">
        <v>42356.0</v>
      </c>
      <c r="R348" s="4">
        <v>0.679154755299</v>
      </c>
      <c r="T348" t="str">
        <f t="shared" si="12"/>
        <v>2015-12</v>
      </c>
      <c r="AB348" s="36">
        <v>40722.0</v>
      </c>
      <c r="AC348" s="4">
        <v>0.650479314863</v>
      </c>
      <c r="AD348" s="47">
        <v>42731.0</v>
      </c>
      <c r="AE348" t="str">
        <f t="shared" si="14"/>
        <v>2011-06</v>
      </c>
      <c r="AF348" t="str">
        <f t="shared" si="15"/>
        <v>2016-12</v>
      </c>
      <c r="AG348" s="36">
        <v>41653.0</v>
      </c>
      <c r="AH348" s="4">
        <v>0.690139048293</v>
      </c>
      <c r="AJ348" s="48" t="str">
        <f t="shared" si="16"/>
        <v>2014-01</v>
      </c>
      <c r="AL348" s="36">
        <v>41432.0</v>
      </c>
      <c r="AM348" s="4">
        <v>0.756936175354</v>
      </c>
      <c r="AN348" s="47">
        <v>42804.0</v>
      </c>
      <c r="AO348" s="49" t="str">
        <f t="shared" si="18"/>
        <v>2013-06</v>
      </c>
      <c r="AP348" t="str">
        <f t="shared" si="19"/>
        <v>2017-03</v>
      </c>
    </row>
    <row r="349">
      <c r="A349" s="36">
        <v>40734.0</v>
      </c>
      <c r="B349" s="34">
        <v>0.676279550408</v>
      </c>
      <c r="C349" s="36">
        <v>42461.0</v>
      </c>
      <c r="D349" t="str">
        <f t="shared" si="6"/>
        <v>2011-07</v>
      </c>
      <c r="E349" s="44" t="str">
        <f t="shared" si="7"/>
        <v>2016-04</v>
      </c>
      <c r="F349" s="63"/>
      <c r="G349" s="36">
        <v>41148.0</v>
      </c>
      <c r="H349" s="34">
        <v>0.665148457589</v>
      </c>
      <c r="J349" t="str">
        <f t="shared" si="8"/>
        <v>2012-08</v>
      </c>
      <c r="K349" s="44"/>
      <c r="L349" s="46">
        <v>41480.0</v>
      </c>
      <c r="M349" s="4">
        <v>0.662064944757</v>
      </c>
      <c r="N349" s="36">
        <v>42978.0</v>
      </c>
      <c r="O349" t="str">
        <f t="shared" si="10"/>
        <v>2013-07</v>
      </c>
      <c r="P349" t="str">
        <f t="shared" si="11"/>
        <v>2017-08</v>
      </c>
      <c r="Q349" s="36">
        <v>42362.0</v>
      </c>
      <c r="R349" s="4">
        <v>0.709973551754</v>
      </c>
      <c r="T349" t="str">
        <f t="shared" si="12"/>
        <v>2015-12</v>
      </c>
      <c r="AB349" s="36">
        <v>40723.0</v>
      </c>
      <c r="AC349" s="4">
        <v>0.756272946322</v>
      </c>
      <c r="AD349" s="47">
        <v>42749.0</v>
      </c>
      <c r="AE349" t="str">
        <f t="shared" si="14"/>
        <v>2011-06</v>
      </c>
      <c r="AF349" t="str">
        <f t="shared" si="15"/>
        <v>2017-01</v>
      </c>
      <c r="AG349" s="36">
        <v>41659.0</v>
      </c>
      <c r="AH349" s="4">
        <v>0.714530484229</v>
      </c>
      <c r="AJ349" s="48" t="str">
        <f t="shared" si="16"/>
        <v>2014-01</v>
      </c>
      <c r="AL349" s="36">
        <v>41439.0</v>
      </c>
      <c r="AM349" s="4">
        <v>0.651544018411</v>
      </c>
      <c r="AN349" s="47">
        <v>42830.0</v>
      </c>
      <c r="AO349" s="49" t="str">
        <f t="shared" si="18"/>
        <v>2013-06</v>
      </c>
      <c r="AP349" t="str">
        <f t="shared" si="19"/>
        <v>2017-04</v>
      </c>
    </row>
    <row r="350">
      <c r="A350" s="36">
        <v>40735.0</v>
      </c>
      <c r="B350" s="34">
        <v>0.739422830945</v>
      </c>
      <c r="C350" s="36">
        <v>42496.0</v>
      </c>
      <c r="D350" t="str">
        <f t="shared" si="6"/>
        <v>2011-07</v>
      </c>
      <c r="E350" s="44" t="str">
        <f t="shared" si="7"/>
        <v>2016-05</v>
      </c>
      <c r="F350" s="63"/>
      <c r="G350" s="36">
        <v>41153.0</v>
      </c>
      <c r="H350" s="34">
        <v>0.773556652064</v>
      </c>
      <c r="J350" t="str">
        <f t="shared" si="8"/>
        <v>2012-09</v>
      </c>
      <c r="K350" s="44"/>
      <c r="L350" s="46">
        <v>41486.0</v>
      </c>
      <c r="M350" s="4">
        <v>0.620936302326</v>
      </c>
      <c r="N350" s="36">
        <v>43011.0</v>
      </c>
      <c r="O350" t="str">
        <f t="shared" si="10"/>
        <v>2013-07</v>
      </c>
      <c r="P350" t="str">
        <f t="shared" si="11"/>
        <v>2017-10</v>
      </c>
      <c r="Q350" s="36">
        <v>42363.0</v>
      </c>
      <c r="R350" s="4">
        <v>0.721723536081</v>
      </c>
      <c r="T350" t="str">
        <f t="shared" si="12"/>
        <v>2015-12</v>
      </c>
      <c r="AB350" s="36">
        <v>40729.0</v>
      </c>
      <c r="AC350" s="4">
        <v>0.678637380286</v>
      </c>
      <c r="AD350" s="47">
        <v>42764.0</v>
      </c>
      <c r="AE350" t="str">
        <f t="shared" si="14"/>
        <v>2011-07</v>
      </c>
      <c r="AF350" t="str">
        <f t="shared" si="15"/>
        <v>2017-01</v>
      </c>
      <c r="AG350" s="36">
        <v>41660.0</v>
      </c>
      <c r="AH350" s="4">
        <v>0.735665363306</v>
      </c>
      <c r="AJ350" s="48" t="str">
        <f t="shared" si="16"/>
        <v>2014-01</v>
      </c>
      <c r="AL350" s="36">
        <v>41440.0</v>
      </c>
      <c r="AM350" s="4">
        <v>0.847329362195</v>
      </c>
      <c r="AN350" s="47">
        <v>42856.0</v>
      </c>
      <c r="AO350" s="49" t="str">
        <f t="shared" si="18"/>
        <v>2013-06</v>
      </c>
      <c r="AP350" t="str">
        <f t="shared" si="19"/>
        <v>2017-05</v>
      </c>
    </row>
    <row r="351">
      <c r="A351" s="36">
        <v>40741.0</v>
      </c>
      <c r="B351" s="34">
        <v>0.629607983375</v>
      </c>
      <c r="C351" s="36">
        <v>42544.0</v>
      </c>
      <c r="D351" t="str">
        <f t="shared" si="6"/>
        <v>2011-07</v>
      </c>
      <c r="E351" s="44" t="str">
        <f t="shared" si="7"/>
        <v>2016-06</v>
      </c>
      <c r="F351" s="63"/>
      <c r="G351" s="36">
        <v>41154.0</v>
      </c>
      <c r="H351" s="34">
        <v>0.719919266113</v>
      </c>
      <c r="J351" t="str">
        <f t="shared" si="8"/>
        <v>2012-09</v>
      </c>
      <c r="K351" s="44"/>
      <c r="L351" s="46">
        <v>41487.0</v>
      </c>
      <c r="M351" s="4">
        <v>0.656279668989</v>
      </c>
      <c r="N351" s="36">
        <v>43012.0</v>
      </c>
      <c r="O351" t="str">
        <f t="shared" si="10"/>
        <v>2013-08</v>
      </c>
      <c r="P351" t="str">
        <f t="shared" si="11"/>
        <v>2017-10</v>
      </c>
      <c r="Q351" s="36">
        <v>42368.0</v>
      </c>
      <c r="R351" s="4">
        <v>0.692597715138</v>
      </c>
      <c r="T351" t="str">
        <f t="shared" si="12"/>
        <v>2015-12</v>
      </c>
      <c r="AB351" s="36">
        <v>40730.0</v>
      </c>
      <c r="AC351" s="4">
        <v>0.78177328744</v>
      </c>
      <c r="AD351" s="47">
        <v>42772.0</v>
      </c>
      <c r="AE351" t="str">
        <f t="shared" si="14"/>
        <v>2011-07</v>
      </c>
      <c r="AF351" t="str">
        <f t="shared" si="15"/>
        <v>2017-02</v>
      </c>
      <c r="AG351" s="36">
        <v>41666.0</v>
      </c>
      <c r="AH351" s="4">
        <v>0.668837572099</v>
      </c>
      <c r="AJ351" s="48" t="str">
        <f t="shared" si="16"/>
        <v>2014-01</v>
      </c>
      <c r="AL351" s="36">
        <v>41446.0</v>
      </c>
      <c r="AM351" s="4">
        <v>0.698615200667</v>
      </c>
      <c r="AN351" s="47">
        <v>42884.0</v>
      </c>
      <c r="AO351" s="49" t="str">
        <f t="shared" si="18"/>
        <v>2013-06</v>
      </c>
      <c r="AP351" t="str">
        <f t="shared" si="19"/>
        <v>2017-05</v>
      </c>
    </row>
    <row r="352">
      <c r="A352" s="36">
        <v>40742.0</v>
      </c>
      <c r="B352" s="34">
        <v>0.672022457346</v>
      </c>
      <c r="C352" s="36">
        <v>42641.0</v>
      </c>
      <c r="D352" t="str">
        <f t="shared" si="6"/>
        <v>2011-07</v>
      </c>
      <c r="E352" s="44" t="str">
        <f t="shared" si="7"/>
        <v>2016-09</v>
      </c>
      <c r="F352" s="63"/>
      <c r="G352" s="36">
        <v>41155.0</v>
      </c>
      <c r="H352" s="34">
        <v>0.0392052382465</v>
      </c>
      <c r="J352" t="str">
        <f t="shared" si="8"/>
        <v>2012-09</v>
      </c>
      <c r="K352" s="44"/>
      <c r="L352" s="46">
        <v>41493.0</v>
      </c>
      <c r="M352" s="4">
        <v>0.590618270941</v>
      </c>
      <c r="N352" s="36">
        <v>43018.0</v>
      </c>
      <c r="O352" t="str">
        <f t="shared" si="10"/>
        <v>2013-08</v>
      </c>
      <c r="P352" t="str">
        <f t="shared" si="11"/>
        <v>2017-10</v>
      </c>
      <c r="Q352" s="36">
        <v>42369.0</v>
      </c>
      <c r="R352" s="4">
        <v>0.73517620031</v>
      </c>
      <c r="T352" t="str">
        <f t="shared" si="12"/>
        <v>2015-12</v>
      </c>
      <c r="AB352" s="36">
        <v>40736.0</v>
      </c>
      <c r="AC352" s="4">
        <v>0.665417779479</v>
      </c>
      <c r="AD352" s="47">
        <v>42779.0</v>
      </c>
      <c r="AE352" t="str">
        <f t="shared" si="14"/>
        <v>2011-07</v>
      </c>
      <c r="AF352" t="str">
        <f t="shared" si="15"/>
        <v>2017-02</v>
      </c>
      <c r="AG352" s="36">
        <v>41667.0</v>
      </c>
      <c r="AH352" s="4">
        <v>0.732545680115</v>
      </c>
      <c r="AJ352" s="48" t="str">
        <f t="shared" si="16"/>
        <v>2014-01</v>
      </c>
      <c r="AL352" s="36">
        <v>41447.0</v>
      </c>
      <c r="AM352" s="4">
        <v>0.713608641407</v>
      </c>
      <c r="AN352" s="47">
        <v>42920.0</v>
      </c>
      <c r="AO352" s="49" t="str">
        <f t="shared" si="18"/>
        <v>2013-06</v>
      </c>
      <c r="AP352" t="str">
        <f t="shared" si="19"/>
        <v>2017-07</v>
      </c>
    </row>
    <row r="353">
      <c r="A353" s="36">
        <v>40748.0</v>
      </c>
      <c r="B353" s="34">
        <v>0.718465812013</v>
      </c>
      <c r="C353" s="36">
        <v>42661.0</v>
      </c>
      <c r="D353" t="str">
        <f t="shared" si="6"/>
        <v>2011-07</v>
      </c>
      <c r="E353" s="44" t="str">
        <f t="shared" si="7"/>
        <v>2016-10</v>
      </c>
      <c r="F353" s="63"/>
      <c r="G353" s="36">
        <v>41161.0</v>
      </c>
      <c r="H353" s="34">
        <v>0.802771050815</v>
      </c>
      <c r="J353" t="str">
        <f t="shared" si="8"/>
        <v>2012-09</v>
      </c>
      <c r="K353" s="44"/>
      <c r="L353" s="46">
        <v>41494.0</v>
      </c>
      <c r="M353" s="4">
        <v>0.66973308924</v>
      </c>
      <c r="N353" s="36">
        <v>42978.0</v>
      </c>
      <c r="O353" t="str">
        <f t="shared" si="10"/>
        <v>2013-08</v>
      </c>
      <c r="P353" t="str">
        <f t="shared" si="11"/>
        <v>2017-08</v>
      </c>
      <c r="Q353" s="36">
        <v>42376.0</v>
      </c>
      <c r="R353" s="4">
        <v>0.742077055214</v>
      </c>
      <c r="T353" t="str">
        <f t="shared" si="12"/>
        <v>2016-01</v>
      </c>
      <c r="AB353" s="36">
        <v>40737.0</v>
      </c>
      <c r="AC353" s="4">
        <v>0.808784079273</v>
      </c>
      <c r="AD353" s="47">
        <v>42832.0</v>
      </c>
      <c r="AE353" t="str">
        <f t="shared" si="14"/>
        <v>2011-07</v>
      </c>
      <c r="AF353" t="str">
        <f t="shared" si="15"/>
        <v>2017-04</v>
      </c>
      <c r="AG353" s="36">
        <v>41673.0</v>
      </c>
      <c r="AH353" s="4">
        <v>0.689177042541</v>
      </c>
      <c r="AJ353" s="48" t="str">
        <f t="shared" si="16"/>
        <v>2014-02</v>
      </c>
      <c r="AL353" s="36">
        <v>41453.0</v>
      </c>
      <c r="AM353" s="4">
        <v>0.708570354848</v>
      </c>
      <c r="AN353" s="47">
        <v>42921.0</v>
      </c>
      <c r="AO353" s="49" t="str">
        <f t="shared" si="18"/>
        <v>2013-06</v>
      </c>
      <c r="AP353" t="str">
        <f t="shared" si="19"/>
        <v>2017-07</v>
      </c>
    </row>
    <row r="354">
      <c r="A354" s="36">
        <v>40749.0</v>
      </c>
      <c r="B354" s="34">
        <v>0.56483346616</v>
      </c>
      <c r="C354" s="36">
        <v>42725.0</v>
      </c>
      <c r="D354" t="str">
        <f t="shared" si="6"/>
        <v>2011-07</v>
      </c>
      <c r="E354" s="44" t="str">
        <f t="shared" si="7"/>
        <v>2016-12</v>
      </c>
      <c r="F354" s="63"/>
      <c r="G354" s="36">
        <v>41167.0</v>
      </c>
      <c r="H354" s="34">
        <v>0.659702913189</v>
      </c>
      <c r="J354" t="str">
        <f t="shared" si="8"/>
        <v>2012-09</v>
      </c>
      <c r="K354" s="44"/>
      <c r="L354" s="46">
        <v>41500.0</v>
      </c>
      <c r="M354" s="4">
        <v>0.667151160029</v>
      </c>
      <c r="N354" s="36">
        <v>43011.0</v>
      </c>
      <c r="O354" t="str">
        <f t="shared" si="10"/>
        <v>2013-08</v>
      </c>
      <c r="P354" t="str">
        <f t="shared" si="11"/>
        <v>2017-10</v>
      </c>
      <c r="Q354" s="36">
        <v>42377.0</v>
      </c>
      <c r="R354" s="4">
        <v>0.644074157324</v>
      </c>
      <c r="T354" t="str">
        <f t="shared" si="12"/>
        <v>2016-01</v>
      </c>
      <c r="AB354" s="36">
        <v>40743.0</v>
      </c>
      <c r="AC354" s="4">
        <v>0.68118460496</v>
      </c>
      <c r="AD354" s="47">
        <v>42749.0</v>
      </c>
      <c r="AE354" t="str">
        <f t="shared" si="14"/>
        <v>2011-07</v>
      </c>
      <c r="AF354" t="str">
        <f t="shared" si="15"/>
        <v>2017-01</v>
      </c>
      <c r="AG354" s="36">
        <v>41674.0</v>
      </c>
      <c r="AH354" s="4">
        <v>0.772906470334</v>
      </c>
      <c r="AJ354" s="48" t="str">
        <f t="shared" si="16"/>
        <v>2014-02</v>
      </c>
      <c r="AL354" s="36">
        <v>41454.0</v>
      </c>
      <c r="AM354" s="4">
        <v>0.766948814271</v>
      </c>
      <c r="AN354" s="47">
        <v>42933.0</v>
      </c>
      <c r="AO354" s="49" t="str">
        <f t="shared" si="18"/>
        <v>2013-06</v>
      </c>
      <c r="AP354" t="str">
        <f t="shared" si="19"/>
        <v>2017-07</v>
      </c>
    </row>
    <row r="355">
      <c r="A355" s="36">
        <v>40755.0</v>
      </c>
      <c r="B355" s="34">
        <v>0.668842130331</v>
      </c>
      <c r="C355" s="36">
        <v>42018.0</v>
      </c>
      <c r="D355" t="str">
        <f t="shared" si="6"/>
        <v>2011-07</v>
      </c>
      <c r="E355" s="44" t="str">
        <f t="shared" si="7"/>
        <v>2015-01</v>
      </c>
      <c r="F355" s="63"/>
      <c r="G355" s="36">
        <v>41168.0</v>
      </c>
      <c r="H355" s="34">
        <v>0.692813658598</v>
      </c>
      <c r="J355" t="str">
        <f t="shared" si="8"/>
        <v>2012-09</v>
      </c>
      <c r="K355" s="44"/>
      <c r="L355" s="46">
        <v>41501.0</v>
      </c>
      <c r="M355" s="4">
        <v>0.642422941637</v>
      </c>
      <c r="N355" s="36">
        <v>43018.0</v>
      </c>
      <c r="O355" t="str">
        <f t="shared" si="10"/>
        <v>2013-08</v>
      </c>
      <c r="P355" t="str">
        <f t="shared" si="11"/>
        <v>2017-10</v>
      </c>
      <c r="Q355" s="36">
        <v>42382.0</v>
      </c>
      <c r="R355" s="4">
        <v>0.828562808131</v>
      </c>
      <c r="T355" t="str">
        <f t="shared" si="12"/>
        <v>2016-01</v>
      </c>
      <c r="AB355" s="36">
        <v>40744.0</v>
      </c>
      <c r="AC355" s="4">
        <v>0.550769262809</v>
      </c>
      <c r="AD355" s="47">
        <v>42753.0</v>
      </c>
      <c r="AE355" t="str">
        <f t="shared" si="14"/>
        <v>2011-07</v>
      </c>
      <c r="AF355" t="str">
        <f t="shared" si="15"/>
        <v>2017-01</v>
      </c>
      <c r="AG355" s="36">
        <v>41680.0</v>
      </c>
      <c r="AH355" s="4">
        <v>0.712547870804</v>
      </c>
      <c r="AJ355" s="48" t="str">
        <f t="shared" si="16"/>
        <v>2014-02</v>
      </c>
      <c r="AL355" s="36">
        <v>41459.0</v>
      </c>
      <c r="AM355" s="4">
        <v>0.743439880371</v>
      </c>
      <c r="AN355" s="47">
        <v>42948.0</v>
      </c>
      <c r="AO355" s="49" t="str">
        <f t="shared" si="18"/>
        <v>2013-07</v>
      </c>
      <c r="AP355" t="str">
        <f t="shared" si="19"/>
        <v>2017-08</v>
      </c>
    </row>
    <row r="356">
      <c r="A356" s="36">
        <v>40756.0</v>
      </c>
      <c r="B356" s="34">
        <v>0.625112958423</v>
      </c>
      <c r="C356" s="36">
        <v>42024.0</v>
      </c>
      <c r="D356" t="str">
        <f t="shared" si="6"/>
        <v>2011-08</v>
      </c>
      <c r="E356" s="44" t="str">
        <f t="shared" si="7"/>
        <v>2015-01</v>
      </c>
      <c r="F356" s="63"/>
      <c r="G356" s="36">
        <v>41169.0</v>
      </c>
      <c r="H356" s="34">
        <v>0.805367381386</v>
      </c>
      <c r="J356" t="str">
        <f t="shared" si="8"/>
        <v>2012-09</v>
      </c>
      <c r="K356" s="44"/>
      <c r="L356" s="46">
        <v>41507.0</v>
      </c>
      <c r="M356" s="4">
        <v>0.704986040198</v>
      </c>
      <c r="N356" s="36">
        <v>43037.0</v>
      </c>
      <c r="O356" t="str">
        <f t="shared" si="10"/>
        <v>2013-08</v>
      </c>
      <c r="P356" t="str">
        <f t="shared" si="11"/>
        <v>2017-10</v>
      </c>
      <c r="Q356" s="36">
        <v>42383.0</v>
      </c>
      <c r="R356" s="4">
        <v>0.670532515858</v>
      </c>
      <c r="T356" t="str">
        <f t="shared" si="12"/>
        <v>2016-01</v>
      </c>
      <c r="AB356" s="36">
        <v>40750.0</v>
      </c>
      <c r="AC356" s="4">
        <v>0.718834592673</v>
      </c>
      <c r="AD356" s="47">
        <v>42758.0</v>
      </c>
      <c r="AE356" t="str">
        <f t="shared" si="14"/>
        <v>2011-07</v>
      </c>
      <c r="AF356" t="str">
        <f t="shared" si="15"/>
        <v>2017-01</v>
      </c>
      <c r="AG356" s="36">
        <v>41687.0</v>
      </c>
      <c r="AH356" s="4">
        <v>0.720799378786</v>
      </c>
      <c r="AJ356" s="48" t="str">
        <f t="shared" si="16"/>
        <v>2014-02</v>
      </c>
      <c r="AL356" s="36">
        <v>41460.0</v>
      </c>
      <c r="AM356" s="4">
        <v>0.660188446967</v>
      </c>
      <c r="AN356" s="47">
        <v>43055.0</v>
      </c>
      <c r="AO356" s="49" t="str">
        <f t="shared" si="18"/>
        <v>2013-07</v>
      </c>
      <c r="AP356" t="str">
        <f t="shared" si="19"/>
        <v>2017-11</v>
      </c>
    </row>
    <row r="357">
      <c r="A357" s="36">
        <v>40762.0</v>
      </c>
      <c r="B357" s="34">
        <v>0.641349528953</v>
      </c>
      <c r="C357" s="36">
        <v>42018.0</v>
      </c>
      <c r="D357" t="str">
        <f t="shared" si="6"/>
        <v>2011-08</v>
      </c>
      <c r="E357" s="44" t="str">
        <f t="shared" si="7"/>
        <v>2015-01</v>
      </c>
      <c r="F357" s="63"/>
      <c r="G357" s="36">
        <v>41174.0</v>
      </c>
      <c r="H357" s="34">
        <v>0.724618168892</v>
      </c>
      <c r="J357" t="str">
        <f t="shared" si="8"/>
        <v>2012-09</v>
      </c>
      <c r="K357" s="44"/>
      <c r="L357" s="46">
        <v>41508.0</v>
      </c>
      <c r="M357" s="4">
        <v>0.746250742178</v>
      </c>
      <c r="N357" s="36">
        <v>43040.0</v>
      </c>
      <c r="O357" t="str">
        <f t="shared" si="10"/>
        <v>2013-08</v>
      </c>
      <c r="P357" t="str">
        <f t="shared" si="11"/>
        <v>2017-11</v>
      </c>
      <c r="Q357" s="36">
        <v>42389.0</v>
      </c>
      <c r="R357" s="4">
        <v>0.717283332244</v>
      </c>
      <c r="T357" t="str">
        <f t="shared" si="12"/>
        <v>2016-01</v>
      </c>
      <c r="AB357" s="36">
        <v>40751.0</v>
      </c>
      <c r="AC357" s="4">
        <v>0.687719541761</v>
      </c>
      <c r="AD357" s="47">
        <v>42771.0</v>
      </c>
      <c r="AE357" t="str">
        <f t="shared" si="14"/>
        <v>2011-07</v>
      </c>
      <c r="AF357" t="str">
        <f t="shared" si="15"/>
        <v>2017-02</v>
      </c>
      <c r="AG357" s="36">
        <v>41688.0</v>
      </c>
      <c r="AH357" s="4">
        <v>0.69500715984</v>
      </c>
      <c r="AJ357" s="48" t="str">
        <f t="shared" si="16"/>
        <v>2014-02</v>
      </c>
      <c r="AL357" s="36">
        <v>41461.0</v>
      </c>
      <c r="AM357" s="4">
        <v>0.886813167959</v>
      </c>
      <c r="AN357" s="47">
        <v>42856.0</v>
      </c>
      <c r="AO357" s="49" t="str">
        <f t="shared" si="18"/>
        <v>2013-07</v>
      </c>
      <c r="AP357" t="str">
        <f t="shared" si="19"/>
        <v>2017-05</v>
      </c>
    </row>
    <row r="358">
      <c r="A358" s="36">
        <v>40763.0</v>
      </c>
      <c r="B358" s="34">
        <v>0.671536428298</v>
      </c>
      <c r="C358" s="36">
        <v>42024.0</v>
      </c>
      <c r="D358" t="str">
        <f t="shared" si="6"/>
        <v>2011-08</v>
      </c>
      <c r="E358" s="44" t="str">
        <f t="shared" si="7"/>
        <v>2015-01</v>
      </c>
      <c r="F358" s="63"/>
      <c r="G358" s="36">
        <v>41175.0</v>
      </c>
      <c r="H358" s="34">
        <v>0.68955822264</v>
      </c>
      <c r="J358" t="str">
        <f t="shared" si="8"/>
        <v>2012-09</v>
      </c>
      <c r="K358" s="44"/>
      <c r="L358" s="46">
        <v>41514.0</v>
      </c>
      <c r="M358" s="4">
        <v>0.720942295349</v>
      </c>
      <c r="N358" s="36">
        <v>43018.0</v>
      </c>
      <c r="O358" t="str">
        <f t="shared" si="10"/>
        <v>2013-08</v>
      </c>
      <c r="P358" t="str">
        <f t="shared" si="11"/>
        <v>2017-10</v>
      </c>
      <c r="Q358" s="36">
        <v>42390.0</v>
      </c>
      <c r="R358" s="4">
        <v>0.706847576673</v>
      </c>
      <c r="T358" t="str">
        <f t="shared" si="12"/>
        <v>2016-01</v>
      </c>
      <c r="AB358" s="36">
        <v>40757.0</v>
      </c>
      <c r="AC358" s="4">
        <v>0.801328359188</v>
      </c>
      <c r="AD358" s="47">
        <v>42735.0</v>
      </c>
      <c r="AE358" t="str">
        <f t="shared" si="14"/>
        <v>2011-08</v>
      </c>
      <c r="AF358" t="str">
        <f t="shared" si="15"/>
        <v>2016-12</v>
      </c>
      <c r="AG358" s="36">
        <v>41694.0</v>
      </c>
      <c r="AH358" s="4">
        <v>0.732812769531</v>
      </c>
      <c r="AJ358" s="48" t="str">
        <f t="shared" si="16"/>
        <v>2014-02</v>
      </c>
      <c r="AL358" s="36">
        <v>41466.0</v>
      </c>
      <c r="AM358" s="4">
        <v>0.550184039227</v>
      </c>
      <c r="AN358" s="47">
        <v>42872.0</v>
      </c>
      <c r="AO358" s="49" t="str">
        <f t="shared" si="18"/>
        <v>2013-07</v>
      </c>
      <c r="AP358" t="str">
        <f t="shared" si="19"/>
        <v>2017-05</v>
      </c>
    </row>
    <row r="359">
      <c r="A359" s="36">
        <v>40769.0</v>
      </c>
      <c r="B359" s="34">
        <v>0.697549291305</v>
      </c>
      <c r="C359" s="36">
        <v>42020.0</v>
      </c>
      <c r="D359" t="str">
        <f t="shared" si="6"/>
        <v>2011-08</v>
      </c>
      <c r="E359" s="44" t="str">
        <f t="shared" si="7"/>
        <v>2015-01</v>
      </c>
      <c r="F359" s="63"/>
      <c r="G359" s="36">
        <v>41176.0</v>
      </c>
      <c r="H359" s="34">
        <v>0.721260983143</v>
      </c>
      <c r="J359" t="str">
        <f t="shared" si="8"/>
        <v>2012-09</v>
      </c>
      <c r="K359" s="44"/>
      <c r="L359" s="46">
        <v>41515.0</v>
      </c>
      <c r="M359" s="4">
        <v>0.637692854322</v>
      </c>
      <c r="N359" s="36">
        <v>43025.0</v>
      </c>
      <c r="O359" t="str">
        <f t="shared" si="10"/>
        <v>2013-08</v>
      </c>
      <c r="P359" t="str">
        <f t="shared" si="11"/>
        <v>2017-10</v>
      </c>
      <c r="Q359" s="36">
        <v>42391.0</v>
      </c>
      <c r="R359" s="4">
        <v>0.482369988154</v>
      </c>
      <c r="T359" t="str">
        <f t="shared" si="12"/>
        <v>2016-01</v>
      </c>
      <c r="AB359" s="36">
        <v>40758.0</v>
      </c>
      <c r="AC359" s="4">
        <v>0.713518205769</v>
      </c>
      <c r="AD359" s="47">
        <v>42736.0</v>
      </c>
      <c r="AE359" t="str">
        <f t="shared" si="14"/>
        <v>2011-08</v>
      </c>
      <c r="AF359" t="str">
        <f t="shared" si="15"/>
        <v>2017-01</v>
      </c>
      <c r="AG359" s="36">
        <v>41695.0</v>
      </c>
      <c r="AH359" s="4">
        <v>0.62235452133</v>
      </c>
      <c r="AJ359" s="48" t="str">
        <f t="shared" si="16"/>
        <v>2014-02</v>
      </c>
      <c r="AL359" s="36">
        <v>41467.0</v>
      </c>
      <c r="AM359" s="4">
        <v>0.701769857707</v>
      </c>
      <c r="AN359" s="47">
        <v>42884.0</v>
      </c>
      <c r="AO359" s="49" t="str">
        <f t="shared" si="18"/>
        <v>2013-07</v>
      </c>
      <c r="AP359" t="str">
        <f t="shared" si="19"/>
        <v>2017-05</v>
      </c>
    </row>
    <row r="360">
      <c r="A360" s="36">
        <v>40770.0</v>
      </c>
      <c r="B360" s="34">
        <v>0.741611917344</v>
      </c>
      <c r="C360" s="36">
        <v>42024.0</v>
      </c>
      <c r="D360" t="str">
        <f t="shared" si="6"/>
        <v>2011-08</v>
      </c>
      <c r="E360" s="44" t="str">
        <f t="shared" si="7"/>
        <v>2015-01</v>
      </c>
      <c r="F360" s="63"/>
      <c r="G360" s="36">
        <v>41181.0</v>
      </c>
      <c r="H360" s="34">
        <v>0.614979480756</v>
      </c>
      <c r="J360" t="str">
        <f t="shared" si="8"/>
        <v>2012-09</v>
      </c>
      <c r="K360" s="44"/>
      <c r="L360" s="46">
        <v>41521.0</v>
      </c>
      <c r="M360" s="4">
        <v>0.579285111646</v>
      </c>
      <c r="N360" s="36">
        <v>43031.0</v>
      </c>
      <c r="O360" t="str">
        <f t="shared" si="10"/>
        <v>2013-09</v>
      </c>
      <c r="P360" t="str">
        <f t="shared" si="11"/>
        <v>2017-10</v>
      </c>
      <c r="Q360" s="36">
        <v>42396.0</v>
      </c>
      <c r="R360" s="4">
        <v>0.857606081197</v>
      </c>
      <c r="T360" t="str">
        <f t="shared" si="12"/>
        <v>2016-01</v>
      </c>
      <c r="AB360" s="36">
        <v>40764.0</v>
      </c>
      <c r="AC360" s="4">
        <v>0.663768094667</v>
      </c>
      <c r="AD360" s="47">
        <v>42737.0</v>
      </c>
      <c r="AE360" t="str">
        <f t="shared" si="14"/>
        <v>2011-08</v>
      </c>
      <c r="AF360" t="str">
        <f t="shared" si="15"/>
        <v>2017-01</v>
      </c>
      <c r="AG360" s="36">
        <v>41701.0</v>
      </c>
      <c r="AH360" s="4">
        <v>0.645197293458</v>
      </c>
      <c r="AJ360" s="48" t="str">
        <f t="shared" si="16"/>
        <v>2014-03</v>
      </c>
      <c r="AL360" s="36">
        <v>41468.0</v>
      </c>
      <c r="AM360" s="4">
        <v>0.697436189137</v>
      </c>
      <c r="AN360" s="47">
        <v>42891.0</v>
      </c>
      <c r="AO360" s="49" t="str">
        <f t="shared" si="18"/>
        <v>2013-07</v>
      </c>
      <c r="AP360" t="str">
        <f t="shared" si="19"/>
        <v>2017-06</v>
      </c>
    </row>
    <row r="361">
      <c r="A361" s="36">
        <v>40776.0</v>
      </c>
      <c r="B361" s="34">
        <v>0.56426858833</v>
      </c>
      <c r="C361" s="36">
        <v>42024.0</v>
      </c>
      <c r="D361" t="str">
        <f t="shared" si="6"/>
        <v>2011-08</v>
      </c>
      <c r="E361" s="44" t="str">
        <f t="shared" si="7"/>
        <v>2015-01</v>
      </c>
      <c r="F361" s="63"/>
      <c r="G361" s="36">
        <v>41182.0</v>
      </c>
      <c r="H361" s="34">
        <v>0.727581316272</v>
      </c>
      <c r="J361" t="str">
        <f t="shared" si="8"/>
        <v>2012-09</v>
      </c>
      <c r="K361" s="44"/>
      <c r="L361" s="46">
        <v>41522.0</v>
      </c>
      <c r="M361" s="4">
        <v>0.526014162937</v>
      </c>
      <c r="N361" s="36">
        <v>43038.0</v>
      </c>
      <c r="O361" t="str">
        <f t="shared" si="10"/>
        <v>2013-09</v>
      </c>
      <c r="P361" t="str">
        <f t="shared" si="11"/>
        <v>2017-10</v>
      </c>
      <c r="Q361" s="36">
        <v>42397.0</v>
      </c>
      <c r="R361" s="4">
        <v>0.66776853489</v>
      </c>
      <c r="T361" t="str">
        <f t="shared" si="12"/>
        <v>2016-01</v>
      </c>
      <c r="AB361" s="36">
        <v>40765.0</v>
      </c>
      <c r="AC361" s="4">
        <v>0.687267026954</v>
      </c>
      <c r="AD361" s="47">
        <v>42743.0</v>
      </c>
      <c r="AE361" t="str">
        <f t="shared" si="14"/>
        <v>2011-08</v>
      </c>
      <c r="AF361" t="str">
        <f t="shared" si="15"/>
        <v>2017-01</v>
      </c>
      <c r="AG361" s="36">
        <v>41702.0</v>
      </c>
      <c r="AH361" s="4">
        <v>0.767003203695</v>
      </c>
      <c r="AJ361" s="48" t="str">
        <f t="shared" si="16"/>
        <v>2014-03</v>
      </c>
      <c r="AL361" s="36">
        <v>41473.0</v>
      </c>
      <c r="AM361" s="4">
        <v>0.71893325157</v>
      </c>
      <c r="AN361" s="47">
        <v>42892.0</v>
      </c>
      <c r="AO361" s="49" t="str">
        <f t="shared" si="18"/>
        <v>2013-07</v>
      </c>
      <c r="AP361" t="str">
        <f t="shared" si="19"/>
        <v>2017-06</v>
      </c>
    </row>
    <row r="362">
      <c r="A362" s="36">
        <v>40777.0</v>
      </c>
      <c r="B362" s="34">
        <v>0.600184556904</v>
      </c>
      <c r="C362" s="36">
        <v>42028.0</v>
      </c>
      <c r="D362" t="str">
        <f t="shared" si="6"/>
        <v>2011-08</v>
      </c>
      <c r="E362" s="44" t="str">
        <f t="shared" si="7"/>
        <v>2015-01</v>
      </c>
      <c r="F362" s="63"/>
      <c r="G362" s="36">
        <v>41183.0</v>
      </c>
      <c r="H362" s="34">
        <v>0.835311537868</v>
      </c>
      <c r="J362" t="str">
        <f t="shared" si="8"/>
        <v>2012-10</v>
      </c>
      <c r="K362" s="44"/>
      <c r="L362" s="46">
        <v>41528.0</v>
      </c>
      <c r="M362" s="4">
        <v>0.628261955733</v>
      </c>
      <c r="N362" s="36">
        <v>43047.0</v>
      </c>
      <c r="O362" t="str">
        <f t="shared" si="10"/>
        <v>2013-09</v>
      </c>
      <c r="P362" t="str">
        <f t="shared" si="11"/>
        <v>2017-11</v>
      </c>
      <c r="Q362" s="36">
        <v>42398.0</v>
      </c>
      <c r="R362" s="4">
        <v>0.827870825127</v>
      </c>
      <c r="T362" t="str">
        <f t="shared" si="12"/>
        <v>2016-01</v>
      </c>
      <c r="AB362" s="36">
        <v>40771.0</v>
      </c>
      <c r="AC362" s="4">
        <v>0.718969064441</v>
      </c>
      <c r="AD362" s="47">
        <v>42779.0</v>
      </c>
      <c r="AE362" t="str">
        <f t="shared" si="14"/>
        <v>2011-08</v>
      </c>
      <c r="AF362" t="str">
        <f t="shared" si="15"/>
        <v>2017-02</v>
      </c>
      <c r="AG362" s="36">
        <v>41708.0</v>
      </c>
      <c r="AH362" s="4">
        <v>0.740467921829</v>
      </c>
      <c r="AJ362" s="48" t="str">
        <f t="shared" si="16"/>
        <v>2014-03</v>
      </c>
      <c r="AL362" s="36">
        <v>41474.0</v>
      </c>
      <c r="AM362" s="4">
        <v>0.699559954612</v>
      </c>
      <c r="AN362" s="47">
        <v>42920.0</v>
      </c>
      <c r="AO362" s="49" t="str">
        <f t="shared" si="18"/>
        <v>2013-07</v>
      </c>
      <c r="AP362" t="str">
        <f t="shared" si="19"/>
        <v>2017-07</v>
      </c>
    </row>
    <row r="363">
      <c r="A363" s="36">
        <v>40783.0</v>
      </c>
      <c r="B363" s="34">
        <v>0.685014702041</v>
      </c>
      <c r="C363" s="36">
        <v>42038.0</v>
      </c>
      <c r="D363" t="str">
        <f t="shared" si="6"/>
        <v>2011-08</v>
      </c>
      <c r="E363" s="44" t="str">
        <f t="shared" si="7"/>
        <v>2015-02</v>
      </c>
      <c r="F363" s="63"/>
      <c r="G363" s="36">
        <v>41188.0</v>
      </c>
      <c r="H363" s="34">
        <v>0.699973309137</v>
      </c>
      <c r="J363" t="str">
        <f t="shared" si="8"/>
        <v>2012-10</v>
      </c>
      <c r="K363" s="44"/>
      <c r="L363" s="46">
        <v>41529.0</v>
      </c>
      <c r="M363" s="4">
        <v>0.709865669952</v>
      </c>
      <c r="O363" t="str">
        <f t="shared" si="10"/>
        <v>2013-09</v>
      </c>
      <c r="Q363" s="36">
        <v>42403.0</v>
      </c>
      <c r="R363" s="4">
        <v>0.75025312064</v>
      </c>
      <c r="T363" t="str">
        <f t="shared" si="12"/>
        <v>2016-02</v>
      </c>
      <c r="AB363" s="36">
        <v>40772.0</v>
      </c>
      <c r="AC363" s="4">
        <v>0.720593143458</v>
      </c>
      <c r="AD363" s="47">
        <v>42784.0</v>
      </c>
      <c r="AE363" t="str">
        <f t="shared" si="14"/>
        <v>2011-08</v>
      </c>
      <c r="AF363" t="str">
        <f t="shared" si="15"/>
        <v>2017-02</v>
      </c>
      <c r="AG363" s="36">
        <v>41709.0</v>
      </c>
      <c r="AH363" s="4">
        <v>0.304647067779</v>
      </c>
      <c r="AJ363" s="48" t="str">
        <f t="shared" si="16"/>
        <v>2014-03</v>
      </c>
      <c r="AL363" s="36">
        <v>41475.0</v>
      </c>
      <c r="AM363" s="4">
        <v>0.748800598392</v>
      </c>
      <c r="AN363" s="47">
        <v>42921.0</v>
      </c>
      <c r="AO363" s="49" t="str">
        <f t="shared" si="18"/>
        <v>2013-07</v>
      </c>
      <c r="AP363" t="str">
        <f t="shared" si="19"/>
        <v>2017-07</v>
      </c>
    </row>
    <row r="364">
      <c r="A364" s="36">
        <v>40784.0</v>
      </c>
      <c r="B364" s="34">
        <v>0.640808737217</v>
      </c>
      <c r="C364" s="36">
        <v>42046.0</v>
      </c>
      <c r="D364" t="str">
        <f t="shared" si="6"/>
        <v>2011-08</v>
      </c>
      <c r="E364" s="44" t="str">
        <f t="shared" si="7"/>
        <v>2015-02</v>
      </c>
      <c r="F364" s="63"/>
      <c r="G364" s="36">
        <v>41189.0</v>
      </c>
      <c r="H364" s="34">
        <v>0.601094799387</v>
      </c>
      <c r="J364" t="str">
        <f t="shared" si="8"/>
        <v>2012-10</v>
      </c>
      <c r="K364" s="44"/>
      <c r="L364" s="46">
        <v>41535.0</v>
      </c>
      <c r="M364" s="4">
        <v>0.713454685426</v>
      </c>
      <c r="O364" t="str">
        <f t="shared" si="10"/>
        <v>2013-09</v>
      </c>
      <c r="Q364" s="36">
        <v>42404.0</v>
      </c>
      <c r="R364" s="4">
        <v>0.669302439271</v>
      </c>
      <c r="T364" t="str">
        <f t="shared" si="12"/>
        <v>2016-02</v>
      </c>
      <c r="AB364" s="36">
        <v>40778.0</v>
      </c>
      <c r="AC364" s="4">
        <v>0.700351739685</v>
      </c>
      <c r="AD364" s="47">
        <v>42789.0</v>
      </c>
      <c r="AE364" t="str">
        <f t="shared" si="14"/>
        <v>2011-08</v>
      </c>
      <c r="AF364" t="str">
        <f t="shared" si="15"/>
        <v>2017-02</v>
      </c>
      <c r="AG364" s="36">
        <v>41715.0</v>
      </c>
      <c r="AH364" s="4">
        <v>0.599230393166</v>
      </c>
      <c r="AJ364" s="48" t="str">
        <f t="shared" si="16"/>
        <v>2014-03</v>
      </c>
      <c r="AL364" s="36">
        <v>41481.0</v>
      </c>
      <c r="AM364" s="4">
        <v>0.729996514314</v>
      </c>
      <c r="AN364" s="47">
        <v>42933.0</v>
      </c>
      <c r="AO364" s="49" t="str">
        <f t="shared" si="18"/>
        <v>2013-07</v>
      </c>
      <c r="AP364" t="str">
        <f t="shared" si="19"/>
        <v>2017-07</v>
      </c>
    </row>
    <row r="365">
      <c r="A365" s="36">
        <v>40790.0</v>
      </c>
      <c r="B365" s="34">
        <v>0.733135260079</v>
      </c>
      <c r="C365" s="36">
        <v>42055.0</v>
      </c>
      <c r="D365" t="str">
        <f t="shared" si="6"/>
        <v>2011-09</v>
      </c>
      <c r="E365" s="44" t="str">
        <f t="shared" si="7"/>
        <v>2015-02</v>
      </c>
      <c r="F365" s="63"/>
      <c r="G365" s="36">
        <v>41190.0</v>
      </c>
      <c r="H365" s="34">
        <v>0.760760621917</v>
      </c>
      <c r="J365" t="str">
        <f t="shared" si="8"/>
        <v>2012-10</v>
      </c>
      <c r="K365" s="44"/>
      <c r="L365" s="46">
        <v>41536.0</v>
      </c>
      <c r="M365" s="4">
        <v>0.777432301064</v>
      </c>
      <c r="O365" t="str">
        <f t="shared" si="10"/>
        <v>2013-09</v>
      </c>
      <c r="Q365" s="36">
        <v>42405.0</v>
      </c>
      <c r="R365" s="4">
        <v>0.655801686935</v>
      </c>
      <c r="T365" t="str">
        <f t="shared" si="12"/>
        <v>2016-02</v>
      </c>
      <c r="AB365" s="36">
        <v>40779.0</v>
      </c>
      <c r="AC365" s="4">
        <v>0.634135776619</v>
      </c>
      <c r="AD365" s="47">
        <v>42804.0</v>
      </c>
      <c r="AE365" t="str">
        <f t="shared" si="14"/>
        <v>2011-08</v>
      </c>
      <c r="AF365" t="str">
        <f t="shared" si="15"/>
        <v>2017-03</v>
      </c>
      <c r="AG365" s="36">
        <v>41716.0</v>
      </c>
      <c r="AH365" s="4">
        <v>0.738349767945</v>
      </c>
      <c r="AJ365" s="48" t="str">
        <f t="shared" si="16"/>
        <v>2014-03</v>
      </c>
      <c r="AL365" s="36">
        <v>41482.0</v>
      </c>
      <c r="AM365" s="4">
        <v>0.572078579597</v>
      </c>
      <c r="AN365" s="47">
        <v>42948.0</v>
      </c>
      <c r="AO365" s="49" t="str">
        <f t="shared" si="18"/>
        <v>2013-07</v>
      </c>
      <c r="AP365" t="str">
        <f t="shared" si="19"/>
        <v>2017-08</v>
      </c>
    </row>
    <row r="366">
      <c r="A366" s="36">
        <v>40791.0</v>
      </c>
      <c r="B366" s="34">
        <v>0.75824067586</v>
      </c>
      <c r="C366" s="36">
        <v>42061.0</v>
      </c>
      <c r="D366" t="str">
        <f t="shared" si="6"/>
        <v>2011-09</v>
      </c>
      <c r="E366" s="44" t="str">
        <f t="shared" si="7"/>
        <v>2015-02</v>
      </c>
      <c r="F366" s="63"/>
      <c r="G366" s="36">
        <v>41195.0</v>
      </c>
      <c r="H366" s="34">
        <v>0.672880288297</v>
      </c>
      <c r="J366" t="str">
        <f t="shared" si="8"/>
        <v>2012-10</v>
      </c>
      <c r="K366" s="44"/>
      <c r="L366" s="46">
        <v>41542.0</v>
      </c>
      <c r="M366" s="4">
        <v>0.707610622448</v>
      </c>
      <c r="O366" t="str">
        <f t="shared" si="10"/>
        <v>2013-09</v>
      </c>
      <c r="Q366" s="36">
        <v>42410.0</v>
      </c>
      <c r="R366" s="4">
        <v>0.737999517153</v>
      </c>
      <c r="T366" t="str">
        <f t="shared" si="12"/>
        <v>2016-02</v>
      </c>
      <c r="AB366" s="36">
        <v>40785.0</v>
      </c>
      <c r="AC366" s="4">
        <v>0.760586251221</v>
      </c>
      <c r="AD366" s="47">
        <v>42823.0</v>
      </c>
      <c r="AE366" t="str">
        <f t="shared" si="14"/>
        <v>2011-08</v>
      </c>
      <c r="AF366" t="str">
        <f t="shared" si="15"/>
        <v>2017-03</v>
      </c>
      <c r="AG366" s="36">
        <v>41722.0</v>
      </c>
      <c r="AH366" s="4">
        <v>0.683392249847</v>
      </c>
      <c r="AJ366" s="48" t="str">
        <f t="shared" si="16"/>
        <v>2014-03</v>
      </c>
      <c r="AL366" s="36">
        <v>41488.0</v>
      </c>
      <c r="AM366" s="4">
        <v>0.655739462303</v>
      </c>
      <c r="AN366" s="47">
        <v>42975.0</v>
      </c>
      <c r="AO366" s="49" t="str">
        <f t="shared" si="18"/>
        <v>2013-08</v>
      </c>
      <c r="AP366" t="str">
        <f t="shared" si="19"/>
        <v>2017-08</v>
      </c>
    </row>
    <row r="367">
      <c r="A367" s="36">
        <v>40797.0</v>
      </c>
      <c r="B367" s="34">
        <v>0.691623046306</v>
      </c>
      <c r="C367" s="36">
        <v>42063.0</v>
      </c>
      <c r="D367" t="str">
        <f t="shared" si="6"/>
        <v>2011-09</v>
      </c>
      <c r="E367" s="44" t="str">
        <f t="shared" si="7"/>
        <v>2015-02</v>
      </c>
      <c r="F367" s="63"/>
      <c r="G367" s="36">
        <v>41196.0</v>
      </c>
      <c r="H367" s="34">
        <v>0.780551469555</v>
      </c>
      <c r="J367" t="str">
        <f t="shared" si="8"/>
        <v>2012-10</v>
      </c>
      <c r="K367" s="44"/>
      <c r="L367" s="46">
        <v>41543.0</v>
      </c>
      <c r="M367" s="4">
        <v>0.860339220809</v>
      </c>
      <c r="O367" t="str">
        <f t="shared" si="10"/>
        <v>2013-09</v>
      </c>
      <c r="Q367" s="36">
        <v>42411.0</v>
      </c>
      <c r="R367" s="4">
        <v>0.736731081236</v>
      </c>
      <c r="T367" t="str">
        <f t="shared" si="12"/>
        <v>2016-02</v>
      </c>
      <c r="AB367" s="36">
        <v>40786.0</v>
      </c>
      <c r="AC367" s="4">
        <v>0.542320575071</v>
      </c>
      <c r="AD367" s="47">
        <v>42832.0</v>
      </c>
      <c r="AE367" t="str">
        <f t="shared" si="14"/>
        <v>2011-08</v>
      </c>
      <c r="AF367" t="str">
        <f t="shared" si="15"/>
        <v>2017-04</v>
      </c>
      <c r="AG367" s="36">
        <v>41723.0</v>
      </c>
      <c r="AH367" s="4">
        <v>0.696318696649</v>
      </c>
      <c r="AJ367" s="48" t="str">
        <f t="shared" si="16"/>
        <v>2014-03</v>
      </c>
      <c r="AL367" s="36">
        <v>41489.0</v>
      </c>
      <c r="AM367" s="4">
        <v>0.674634101886</v>
      </c>
      <c r="AN367" s="47">
        <v>42975.0</v>
      </c>
      <c r="AO367" s="49" t="str">
        <f t="shared" si="18"/>
        <v>2013-08</v>
      </c>
      <c r="AP367" t="str">
        <f t="shared" si="19"/>
        <v>2017-08</v>
      </c>
    </row>
    <row r="368">
      <c r="A368" s="36">
        <v>40798.0</v>
      </c>
      <c r="B368" s="34">
        <v>0.663459031645</v>
      </c>
      <c r="C368" s="36">
        <v>42066.0</v>
      </c>
      <c r="D368" t="str">
        <f t="shared" si="6"/>
        <v>2011-09</v>
      </c>
      <c r="E368" s="44" t="str">
        <f t="shared" si="7"/>
        <v>2015-03</v>
      </c>
      <c r="F368" s="63"/>
      <c r="G368" s="36">
        <v>41197.0</v>
      </c>
      <c r="H368" s="34">
        <v>0.672595977279</v>
      </c>
      <c r="J368" t="str">
        <f t="shared" si="8"/>
        <v>2012-10</v>
      </c>
      <c r="K368" s="44"/>
      <c r="L368" s="46">
        <v>41549.0</v>
      </c>
      <c r="M368" s="4">
        <v>0.655539931386</v>
      </c>
      <c r="O368" t="str">
        <f t="shared" si="10"/>
        <v>2013-10</v>
      </c>
      <c r="Q368" s="36">
        <v>42412.0</v>
      </c>
      <c r="R368" s="4">
        <v>0.872928978349</v>
      </c>
      <c r="T368" t="str">
        <f t="shared" si="12"/>
        <v>2016-02</v>
      </c>
      <c r="AB368" s="36">
        <v>40792.0</v>
      </c>
      <c r="AC368" s="4">
        <v>0.638655663215</v>
      </c>
      <c r="AD368" s="47">
        <v>42858.0</v>
      </c>
      <c r="AE368" t="str">
        <f t="shared" si="14"/>
        <v>2011-09</v>
      </c>
      <c r="AF368" t="str">
        <f t="shared" si="15"/>
        <v>2017-05</v>
      </c>
      <c r="AG368" s="36">
        <v>41729.0</v>
      </c>
      <c r="AH368" s="4">
        <v>0.681939958879</v>
      </c>
      <c r="AJ368" s="48" t="str">
        <f t="shared" si="16"/>
        <v>2014-03</v>
      </c>
      <c r="AL368" s="36">
        <v>41495.0</v>
      </c>
      <c r="AM368" s="4">
        <v>0.737818729588</v>
      </c>
      <c r="AN368" s="47">
        <v>42989.0</v>
      </c>
      <c r="AO368" s="49" t="str">
        <f t="shared" si="18"/>
        <v>2013-08</v>
      </c>
      <c r="AP368" t="str">
        <f t="shared" si="19"/>
        <v>2017-09</v>
      </c>
    </row>
    <row r="369">
      <c r="A369" s="36">
        <v>40804.0</v>
      </c>
      <c r="B369" s="34">
        <v>0.641153811025</v>
      </c>
      <c r="C369" s="36">
        <v>42069.0</v>
      </c>
      <c r="D369" t="str">
        <f t="shared" si="6"/>
        <v>2011-09</v>
      </c>
      <c r="E369" s="44" t="str">
        <f t="shared" si="7"/>
        <v>2015-03</v>
      </c>
      <c r="F369" s="63"/>
      <c r="G369" s="36">
        <v>41202.0</v>
      </c>
      <c r="H369" s="34">
        <v>0.607565586729</v>
      </c>
      <c r="J369" t="str">
        <f t="shared" si="8"/>
        <v>2012-10</v>
      </c>
      <c r="K369" s="44"/>
      <c r="L369" s="46">
        <v>41550.0</v>
      </c>
      <c r="M369" s="4">
        <v>0.745290035148</v>
      </c>
      <c r="O369" t="str">
        <f t="shared" si="10"/>
        <v>2013-10</v>
      </c>
      <c r="Q369" s="36">
        <v>42417.0</v>
      </c>
      <c r="R369" s="4">
        <v>0.820435100693</v>
      </c>
      <c r="T369" t="str">
        <f t="shared" si="12"/>
        <v>2016-02</v>
      </c>
      <c r="AB369" s="36">
        <v>40793.0</v>
      </c>
      <c r="AC369" s="4">
        <v>0.725459754158</v>
      </c>
      <c r="AD369" s="47">
        <v>42875.0</v>
      </c>
      <c r="AE369" t="str">
        <f t="shared" si="14"/>
        <v>2011-09</v>
      </c>
      <c r="AF369" t="str">
        <f t="shared" si="15"/>
        <v>2017-05</v>
      </c>
      <c r="AG369" s="36">
        <v>41730.0</v>
      </c>
      <c r="AH369" s="4">
        <v>0.649505595032</v>
      </c>
      <c r="AJ369" s="48" t="str">
        <f t="shared" si="16"/>
        <v>2014-04</v>
      </c>
      <c r="AL369" s="36">
        <v>41496.0</v>
      </c>
      <c r="AM369" s="4">
        <v>0.721458659381</v>
      </c>
      <c r="AN369" s="47">
        <v>43013.0</v>
      </c>
      <c r="AO369" s="49" t="str">
        <f t="shared" si="18"/>
        <v>2013-08</v>
      </c>
      <c r="AP369" t="str">
        <f t="shared" si="19"/>
        <v>2017-10</v>
      </c>
    </row>
    <row r="370">
      <c r="A370" s="36">
        <v>40805.0</v>
      </c>
      <c r="B370" s="34">
        <v>0.576315524817</v>
      </c>
      <c r="C370" s="36">
        <v>42072.0</v>
      </c>
      <c r="D370" t="str">
        <f t="shared" si="6"/>
        <v>2011-09</v>
      </c>
      <c r="E370" s="44" t="str">
        <f t="shared" si="7"/>
        <v>2015-03</v>
      </c>
      <c r="F370" s="63"/>
      <c r="G370" s="36">
        <v>41203.0</v>
      </c>
      <c r="H370" s="34">
        <v>0.741053647073</v>
      </c>
      <c r="J370" t="str">
        <f t="shared" si="8"/>
        <v>2012-10</v>
      </c>
      <c r="K370" s="44"/>
      <c r="L370" s="46">
        <v>41556.0</v>
      </c>
      <c r="M370" s="4">
        <v>0.663313049694</v>
      </c>
      <c r="O370" t="str">
        <f t="shared" si="10"/>
        <v>2013-10</v>
      </c>
      <c r="Q370" s="36">
        <v>42418.0</v>
      </c>
      <c r="R370" s="4">
        <v>0.711059194596</v>
      </c>
      <c r="T370" t="str">
        <f t="shared" si="12"/>
        <v>2016-02</v>
      </c>
      <c r="AB370" s="36">
        <v>40799.0</v>
      </c>
      <c r="AC370" s="4">
        <v>0.748137352087</v>
      </c>
      <c r="AD370" s="47">
        <v>42906.0</v>
      </c>
      <c r="AE370" t="str">
        <f t="shared" si="14"/>
        <v>2011-09</v>
      </c>
      <c r="AF370" t="str">
        <f t="shared" si="15"/>
        <v>2017-06</v>
      </c>
      <c r="AG370" s="36">
        <v>41736.0</v>
      </c>
      <c r="AH370" s="4">
        <v>0.661971149011</v>
      </c>
      <c r="AJ370" s="48" t="str">
        <f t="shared" si="16"/>
        <v>2014-04</v>
      </c>
      <c r="AL370" s="36">
        <v>41502.0</v>
      </c>
      <c r="AM370" s="4">
        <v>0.625476619448</v>
      </c>
      <c r="AN370" s="47">
        <v>43049.0</v>
      </c>
      <c r="AO370" s="49" t="str">
        <f t="shared" si="18"/>
        <v>2013-08</v>
      </c>
      <c r="AP370" t="str">
        <f t="shared" si="19"/>
        <v>2017-11</v>
      </c>
    </row>
    <row r="371">
      <c r="A371" s="36">
        <v>40811.0</v>
      </c>
      <c r="B371" s="34">
        <v>0.64701853699</v>
      </c>
      <c r="C371" s="36">
        <v>42082.0</v>
      </c>
      <c r="D371" t="str">
        <f t="shared" si="6"/>
        <v>2011-09</v>
      </c>
      <c r="E371" s="44" t="str">
        <f t="shared" si="7"/>
        <v>2015-03</v>
      </c>
      <c r="F371" s="63"/>
      <c r="G371" s="36">
        <v>41204.0</v>
      </c>
      <c r="H371" s="34">
        <v>0.8062989415</v>
      </c>
      <c r="J371" t="str">
        <f t="shared" si="8"/>
        <v>2012-10</v>
      </c>
      <c r="K371" s="44"/>
      <c r="L371" s="46">
        <v>41557.0</v>
      </c>
      <c r="M371" s="4">
        <v>0.661175757565</v>
      </c>
      <c r="O371" t="str">
        <f t="shared" si="10"/>
        <v>2013-10</v>
      </c>
      <c r="Q371" s="36">
        <v>42419.0</v>
      </c>
      <c r="R371" s="4">
        <v>0.770529350679</v>
      </c>
      <c r="T371" t="str">
        <f t="shared" si="12"/>
        <v>2016-02</v>
      </c>
      <c r="AB371" s="36">
        <v>40800.0</v>
      </c>
      <c r="AC371" s="4">
        <v>0.622599336151</v>
      </c>
      <c r="AD371" s="47">
        <v>42912.0</v>
      </c>
      <c r="AE371" t="str">
        <f t="shared" si="14"/>
        <v>2011-09</v>
      </c>
      <c r="AF371" t="str">
        <f t="shared" si="15"/>
        <v>2017-06</v>
      </c>
      <c r="AG371" s="36">
        <v>41737.0</v>
      </c>
      <c r="AH371" s="4">
        <v>0.631139776252</v>
      </c>
      <c r="AJ371" s="48" t="str">
        <f t="shared" si="16"/>
        <v>2014-04</v>
      </c>
      <c r="AL371" s="36">
        <v>41503.0</v>
      </c>
      <c r="AM371" s="4">
        <v>0.282536325245</v>
      </c>
      <c r="AN371" s="47">
        <v>43026.0</v>
      </c>
      <c r="AO371" s="49" t="str">
        <f t="shared" si="18"/>
        <v>2013-08</v>
      </c>
      <c r="AP371" t="str">
        <f t="shared" si="19"/>
        <v>2017-10</v>
      </c>
    </row>
    <row r="372">
      <c r="A372" s="36">
        <v>40812.0</v>
      </c>
      <c r="B372" s="34">
        <v>0.719187415656</v>
      </c>
      <c r="C372" s="36">
        <v>42083.0</v>
      </c>
      <c r="D372" t="str">
        <f t="shared" si="6"/>
        <v>2011-09</v>
      </c>
      <c r="E372" s="44" t="str">
        <f t="shared" si="7"/>
        <v>2015-03</v>
      </c>
      <c r="F372" s="63"/>
      <c r="G372" s="36">
        <v>41209.0</v>
      </c>
      <c r="H372" s="34">
        <v>0.713181129494</v>
      </c>
      <c r="J372" t="str">
        <f t="shared" si="8"/>
        <v>2012-10</v>
      </c>
      <c r="K372" s="44"/>
      <c r="L372" s="46">
        <v>41563.0</v>
      </c>
      <c r="M372" s="4">
        <v>0.725869232194</v>
      </c>
      <c r="O372" t="str">
        <f t="shared" si="10"/>
        <v>2013-10</v>
      </c>
      <c r="Q372" s="36">
        <v>42424.0</v>
      </c>
      <c r="R372" s="4">
        <v>0.779999762908</v>
      </c>
      <c r="T372" t="str">
        <f t="shared" si="12"/>
        <v>2016-02</v>
      </c>
      <c r="AB372" s="36">
        <v>40806.0</v>
      </c>
      <c r="AC372" s="4">
        <v>0.722459856632</v>
      </c>
      <c r="AD372" s="47">
        <v>42926.0</v>
      </c>
      <c r="AE372" t="str">
        <f t="shared" si="14"/>
        <v>2011-09</v>
      </c>
      <c r="AF372" t="str">
        <f t="shared" si="15"/>
        <v>2017-07</v>
      </c>
      <c r="AG372" s="36">
        <v>41743.0</v>
      </c>
      <c r="AH372" s="4">
        <v>0.638102808327</v>
      </c>
      <c r="AJ372" s="48" t="str">
        <f t="shared" si="16"/>
        <v>2014-04</v>
      </c>
      <c r="AL372" s="36">
        <v>41509.0</v>
      </c>
      <c r="AM372" s="4">
        <v>0.691059731069</v>
      </c>
      <c r="AN372" s="47">
        <v>43038.0</v>
      </c>
      <c r="AO372" s="49" t="str">
        <f t="shared" si="18"/>
        <v>2013-08</v>
      </c>
      <c r="AP372" t="str">
        <f t="shared" si="19"/>
        <v>2017-10</v>
      </c>
    </row>
    <row r="373">
      <c r="A373" s="36">
        <v>40818.0</v>
      </c>
      <c r="B373" s="34">
        <v>0.63858658714</v>
      </c>
      <c r="C373" s="36">
        <v>42086.0</v>
      </c>
      <c r="D373" t="str">
        <f t="shared" si="6"/>
        <v>2011-10</v>
      </c>
      <c r="E373" s="44" t="str">
        <f t="shared" si="7"/>
        <v>2015-03</v>
      </c>
      <c r="F373" s="63"/>
      <c r="G373" s="36">
        <v>41210.0</v>
      </c>
      <c r="H373" s="34">
        <v>0.654608554229</v>
      </c>
      <c r="J373" t="str">
        <f t="shared" si="8"/>
        <v>2012-10</v>
      </c>
      <c r="K373" s="44"/>
      <c r="L373" s="46">
        <v>41564.0</v>
      </c>
      <c r="M373" s="4">
        <v>0.669486105924</v>
      </c>
      <c r="O373" t="str">
        <f t="shared" si="10"/>
        <v>2013-10</v>
      </c>
      <c r="Q373" s="36">
        <v>42425.0</v>
      </c>
      <c r="R373" s="4">
        <v>0.697065376886</v>
      </c>
      <c r="T373" t="str">
        <f t="shared" si="12"/>
        <v>2016-02</v>
      </c>
      <c r="AB373" s="36">
        <v>40807.0</v>
      </c>
      <c r="AC373" s="4">
        <v>0.624683416247</v>
      </c>
      <c r="AD373" s="47">
        <v>42935.0</v>
      </c>
      <c r="AE373" t="str">
        <f t="shared" si="14"/>
        <v>2011-09</v>
      </c>
      <c r="AF373" t="str">
        <f t="shared" si="15"/>
        <v>2017-07</v>
      </c>
      <c r="AG373" s="36">
        <v>41744.0</v>
      </c>
      <c r="AH373" s="4">
        <v>0.718153278552</v>
      </c>
      <c r="AJ373" s="48" t="str">
        <f t="shared" si="16"/>
        <v>2014-04</v>
      </c>
      <c r="AL373" s="36">
        <v>41516.0</v>
      </c>
      <c r="AM373" s="4">
        <v>0.69269495593</v>
      </c>
      <c r="AN373" s="47">
        <v>43044.0</v>
      </c>
      <c r="AO373" s="49" t="str">
        <f t="shared" si="18"/>
        <v>2013-08</v>
      </c>
      <c r="AP373" t="str">
        <f t="shared" si="19"/>
        <v>2017-11</v>
      </c>
    </row>
    <row r="374">
      <c r="A374" s="36">
        <v>40819.0</v>
      </c>
      <c r="B374" s="34">
        <v>0.533587838234</v>
      </c>
      <c r="C374" s="36">
        <v>42099.0</v>
      </c>
      <c r="D374" t="str">
        <f t="shared" si="6"/>
        <v>2011-10</v>
      </c>
      <c r="E374" s="44" t="str">
        <f t="shared" si="7"/>
        <v>2015-04</v>
      </c>
      <c r="F374" s="63"/>
      <c r="G374" s="36">
        <v>41216.0</v>
      </c>
      <c r="H374" s="34">
        <v>0.760005148833</v>
      </c>
      <c r="J374" t="str">
        <f t="shared" si="8"/>
        <v>2012-11</v>
      </c>
      <c r="K374" s="44"/>
      <c r="L374" s="46">
        <v>41570.0</v>
      </c>
      <c r="M374" s="4">
        <v>0.701192170201</v>
      </c>
      <c r="O374" t="str">
        <f t="shared" si="10"/>
        <v>2013-10</v>
      </c>
      <c r="Q374" s="36">
        <v>42432.0</v>
      </c>
      <c r="R374" s="4">
        <v>0.702923544233</v>
      </c>
      <c r="T374" t="str">
        <f t="shared" si="12"/>
        <v>2016-03</v>
      </c>
      <c r="AB374" s="36">
        <v>40813.0</v>
      </c>
      <c r="AC374" s="4">
        <v>0.722301598091</v>
      </c>
      <c r="AD374" s="47">
        <v>42949.0</v>
      </c>
      <c r="AE374" t="str">
        <f t="shared" si="14"/>
        <v>2011-09</v>
      </c>
      <c r="AF374" t="str">
        <f t="shared" si="15"/>
        <v>2017-08</v>
      </c>
      <c r="AG374" s="36">
        <v>41750.0</v>
      </c>
      <c r="AH374" s="4">
        <v>0.737566960994</v>
      </c>
      <c r="AJ374" s="48" t="str">
        <f t="shared" si="16"/>
        <v>2014-04</v>
      </c>
      <c r="AL374" s="36">
        <v>41517.0</v>
      </c>
      <c r="AM374" s="4">
        <v>0.749047496673</v>
      </c>
      <c r="AN374" s="47">
        <v>43027.0</v>
      </c>
      <c r="AO374" s="49" t="str">
        <f t="shared" si="18"/>
        <v>2013-08</v>
      </c>
      <c r="AP374" t="str">
        <f t="shared" si="19"/>
        <v>2017-10</v>
      </c>
    </row>
    <row r="375">
      <c r="A375" s="36">
        <v>40825.0</v>
      </c>
      <c r="B375" s="34">
        <v>0.717646133466</v>
      </c>
      <c r="C375" s="36">
        <v>42100.0</v>
      </c>
      <c r="D375" t="str">
        <f t="shared" si="6"/>
        <v>2011-10</v>
      </c>
      <c r="E375" s="44" t="str">
        <f t="shared" si="7"/>
        <v>2015-04</v>
      </c>
      <c r="F375" s="63"/>
      <c r="G375" s="36">
        <v>41217.0</v>
      </c>
      <c r="H375" s="34">
        <v>0.747093978186</v>
      </c>
      <c r="J375" t="str">
        <f t="shared" si="8"/>
        <v>2012-11</v>
      </c>
      <c r="K375" s="44"/>
      <c r="L375" s="46">
        <v>41577.0</v>
      </c>
      <c r="M375" s="4">
        <v>0.645770673493</v>
      </c>
      <c r="O375" t="str">
        <f t="shared" si="10"/>
        <v>2013-10</v>
      </c>
      <c r="Q375" s="36">
        <v>42433.0</v>
      </c>
      <c r="R375" s="4">
        <v>0.614191588344</v>
      </c>
      <c r="T375" t="str">
        <f t="shared" si="12"/>
        <v>2016-03</v>
      </c>
      <c r="AB375" s="36">
        <v>40814.0</v>
      </c>
      <c r="AC375" s="4">
        <v>0.699990908025</v>
      </c>
      <c r="AD375" s="47">
        <v>42964.0</v>
      </c>
      <c r="AE375" t="str">
        <f t="shared" si="14"/>
        <v>2011-09</v>
      </c>
      <c r="AF375" t="str">
        <f t="shared" si="15"/>
        <v>2017-08</v>
      </c>
      <c r="AG375" s="36">
        <v>41751.0</v>
      </c>
      <c r="AH375" s="4">
        <v>0.709895836243</v>
      </c>
      <c r="AJ375" s="48" t="str">
        <f t="shared" si="16"/>
        <v>2014-04</v>
      </c>
      <c r="AL375" s="36">
        <v>41523.0</v>
      </c>
      <c r="AM375" s="4">
        <v>0.718160640895</v>
      </c>
      <c r="AN375" s="47">
        <v>43038.0</v>
      </c>
      <c r="AO375" s="49" t="str">
        <f t="shared" si="18"/>
        <v>2013-09</v>
      </c>
      <c r="AP375" t="str">
        <f t="shared" si="19"/>
        <v>2017-10</v>
      </c>
    </row>
    <row r="376">
      <c r="A376" s="36">
        <v>40826.0</v>
      </c>
      <c r="B376" s="34">
        <v>0.642929435091</v>
      </c>
      <c r="C376" s="36">
        <v>42108.0</v>
      </c>
      <c r="D376" t="str">
        <f t="shared" si="6"/>
        <v>2011-10</v>
      </c>
      <c r="E376" s="44" t="str">
        <f t="shared" si="7"/>
        <v>2015-04</v>
      </c>
      <c r="F376" s="63"/>
      <c r="G376" s="36">
        <v>41223.0</v>
      </c>
      <c r="H376" s="34">
        <v>0.856679538825</v>
      </c>
      <c r="J376" t="str">
        <f t="shared" si="8"/>
        <v>2012-11</v>
      </c>
      <c r="K376" s="44"/>
      <c r="L376" s="46">
        <v>41578.0</v>
      </c>
      <c r="M376" s="4">
        <v>0.423765603274</v>
      </c>
      <c r="O376" t="str">
        <f t="shared" si="10"/>
        <v>2013-10</v>
      </c>
      <c r="Q376" s="36">
        <v>42439.0</v>
      </c>
      <c r="R376" s="4">
        <v>0.695572546956</v>
      </c>
      <c r="T376" t="str">
        <f t="shared" si="12"/>
        <v>2016-03</v>
      </c>
      <c r="AB376" s="36">
        <v>40820.0</v>
      </c>
      <c r="AC376" s="4">
        <v>0.71029767365</v>
      </c>
      <c r="AD376" s="47">
        <v>42943.0</v>
      </c>
      <c r="AE376" t="str">
        <f t="shared" si="14"/>
        <v>2011-10</v>
      </c>
      <c r="AF376" t="str">
        <f t="shared" si="15"/>
        <v>2017-07</v>
      </c>
      <c r="AG376" s="36">
        <v>41757.0</v>
      </c>
      <c r="AH376" s="4">
        <v>0.671344603635</v>
      </c>
      <c r="AJ376" s="48" t="str">
        <f t="shared" si="16"/>
        <v>2014-04</v>
      </c>
      <c r="AL376" s="36">
        <v>41524.0</v>
      </c>
      <c r="AM376" s="4">
        <v>0.899484102232</v>
      </c>
      <c r="AN376" s="47">
        <v>40434.0</v>
      </c>
      <c r="AO376" s="49" t="str">
        <f t="shared" si="18"/>
        <v>2013-09</v>
      </c>
      <c r="AP376" t="str">
        <f t="shared" si="19"/>
        <v>2010-09</v>
      </c>
    </row>
    <row r="377">
      <c r="A377" s="36">
        <v>40832.0</v>
      </c>
      <c r="B377" s="34">
        <v>0.676180132656</v>
      </c>
      <c r="C377" s="36">
        <v>42108.0</v>
      </c>
      <c r="D377" t="str">
        <f t="shared" si="6"/>
        <v>2011-10</v>
      </c>
      <c r="E377" s="44" t="str">
        <f t="shared" si="7"/>
        <v>2015-04</v>
      </c>
      <c r="F377" s="63"/>
      <c r="G377" s="36">
        <v>41224.0</v>
      </c>
      <c r="H377" s="34">
        <v>0.705042924041</v>
      </c>
      <c r="J377" t="str">
        <f t="shared" si="8"/>
        <v>2012-11</v>
      </c>
      <c r="K377" s="44"/>
      <c r="L377" s="46">
        <v>41584.0</v>
      </c>
      <c r="M377" s="4">
        <v>0.716022281023</v>
      </c>
      <c r="O377" t="str">
        <f t="shared" si="10"/>
        <v>2013-11</v>
      </c>
      <c r="Q377" s="36">
        <v>42440.0</v>
      </c>
      <c r="R377" s="4">
        <v>0.991797690802</v>
      </c>
      <c r="T377" t="str">
        <f t="shared" si="12"/>
        <v>2016-03</v>
      </c>
      <c r="AB377" s="36">
        <v>40821.0</v>
      </c>
      <c r="AC377" s="4">
        <v>0.703053995406</v>
      </c>
      <c r="AD377" s="47">
        <v>42959.0</v>
      </c>
      <c r="AE377" t="str">
        <f t="shared" si="14"/>
        <v>2011-10</v>
      </c>
      <c r="AF377" t="str">
        <f t="shared" si="15"/>
        <v>2017-08</v>
      </c>
      <c r="AG377" s="36">
        <v>41758.0</v>
      </c>
      <c r="AH377" s="4">
        <v>0.723482282322</v>
      </c>
      <c r="AJ377" s="48" t="str">
        <f t="shared" si="16"/>
        <v>2014-04</v>
      </c>
      <c r="AL377" s="36">
        <v>41530.0</v>
      </c>
      <c r="AM377" s="4">
        <v>0.764315675014</v>
      </c>
      <c r="AN377" s="47">
        <v>40513.0</v>
      </c>
      <c r="AO377" s="49" t="str">
        <f t="shared" si="18"/>
        <v>2013-09</v>
      </c>
      <c r="AP377" t="str">
        <f t="shared" si="19"/>
        <v>2010-12</v>
      </c>
    </row>
    <row r="378">
      <c r="A378" s="36">
        <v>40833.0</v>
      </c>
      <c r="B378" s="34">
        <v>0.390516301675</v>
      </c>
      <c r="C378" s="36">
        <v>42114.0</v>
      </c>
      <c r="D378" t="str">
        <f t="shared" si="6"/>
        <v>2011-10</v>
      </c>
      <c r="E378" s="44" t="str">
        <f t="shared" si="7"/>
        <v>2015-04</v>
      </c>
      <c r="F378" s="63"/>
      <c r="G378" s="36">
        <v>41225.0</v>
      </c>
      <c r="H378" s="34">
        <v>0.703076733498</v>
      </c>
      <c r="J378" t="str">
        <f t="shared" si="8"/>
        <v>2012-11</v>
      </c>
      <c r="K378" s="44"/>
      <c r="L378" s="46">
        <v>41591.0</v>
      </c>
      <c r="M378" s="4">
        <v>0.730277449361</v>
      </c>
      <c r="O378" t="str">
        <f t="shared" si="10"/>
        <v>2013-11</v>
      </c>
      <c r="Q378" s="36">
        <v>42446.0</v>
      </c>
      <c r="R378" s="4">
        <v>0.762203394962</v>
      </c>
      <c r="T378" t="str">
        <f t="shared" si="12"/>
        <v>2016-03</v>
      </c>
      <c r="AB378" s="36">
        <v>40827.0</v>
      </c>
      <c r="AC378" s="4">
        <v>0.731380673152</v>
      </c>
      <c r="AD378" s="47">
        <v>42966.0</v>
      </c>
      <c r="AE378" t="str">
        <f t="shared" si="14"/>
        <v>2011-10</v>
      </c>
      <c r="AF378" t="str">
        <f t="shared" si="15"/>
        <v>2017-08</v>
      </c>
      <c r="AG378" s="36">
        <v>41764.0</v>
      </c>
      <c r="AH378" s="4">
        <v>0.671187341119</v>
      </c>
      <c r="AJ378" s="48" t="str">
        <f t="shared" si="16"/>
        <v>2014-05</v>
      </c>
      <c r="AL378" s="36">
        <v>41531.0</v>
      </c>
      <c r="AM378" s="4">
        <v>0.653565144442</v>
      </c>
      <c r="AN378" s="47">
        <v>40560.0</v>
      </c>
      <c r="AO378" s="49" t="str">
        <f t="shared" si="18"/>
        <v>2013-09</v>
      </c>
      <c r="AP378" t="str">
        <f t="shared" si="19"/>
        <v>2011-01</v>
      </c>
    </row>
    <row r="379">
      <c r="A379" s="36">
        <v>40839.0</v>
      </c>
      <c r="B379" s="34">
        <v>0.60074954016</v>
      </c>
      <c r="C379" s="36">
        <v>42142.0</v>
      </c>
      <c r="D379" t="str">
        <f t="shared" si="6"/>
        <v>2011-10</v>
      </c>
      <c r="E379" s="44" t="str">
        <f t="shared" si="7"/>
        <v>2015-05</v>
      </c>
      <c r="F379" s="63"/>
      <c r="G379" s="36">
        <v>41231.0</v>
      </c>
      <c r="H379" s="34">
        <v>0.738056481348</v>
      </c>
      <c r="J379" t="str">
        <f t="shared" si="8"/>
        <v>2012-11</v>
      </c>
      <c r="K379" s="44"/>
      <c r="L379" s="46">
        <v>41592.0</v>
      </c>
      <c r="M379" s="4">
        <v>0.894282599531</v>
      </c>
      <c r="O379" t="str">
        <f t="shared" si="10"/>
        <v>2013-11</v>
      </c>
      <c r="Q379" s="36">
        <v>42453.0</v>
      </c>
      <c r="R379" s="4">
        <v>0.758391379024</v>
      </c>
      <c r="T379" t="str">
        <f t="shared" si="12"/>
        <v>2016-03</v>
      </c>
      <c r="AB379" s="36">
        <v>40828.0</v>
      </c>
      <c r="AC379" s="4">
        <v>0.754849594479</v>
      </c>
      <c r="AD379" s="47">
        <v>42976.0</v>
      </c>
      <c r="AE379" t="str">
        <f t="shared" si="14"/>
        <v>2011-10</v>
      </c>
      <c r="AF379" t="str">
        <f t="shared" si="15"/>
        <v>2017-08</v>
      </c>
      <c r="AG379" s="36">
        <v>41765.0</v>
      </c>
      <c r="AH379" s="4">
        <v>0.768154063003</v>
      </c>
      <c r="AJ379" s="48" t="str">
        <f t="shared" si="16"/>
        <v>2014-05</v>
      </c>
      <c r="AL379" s="36">
        <v>41537.0</v>
      </c>
      <c r="AM379" s="4">
        <v>0.703990757238</v>
      </c>
      <c r="AN379" s="47">
        <v>40579.0</v>
      </c>
      <c r="AO379" s="49" t="str">
        <f t="shared" si="18"/>
        <v>2013-09</v>
      </c>
      <c r="AP379" t="str">
        <f t="shared" si="19"/>
        <v>2011-02</v>
      </c>
    </row>
    <row r="380">
      <c r="A380" s="36">
        <v>40840.0</v>
      </c>
      <c r="B380" s="34">
        <v>0.645962433741</v>
      </c>
      <c r="C380" s="36">
        <v>42189.0</v>
      </c>
      <c r="D380" t="str">
        <f t="shared" si="6"/>
        <v>2011-10</v>
      </c>
      <c r="E380" s="44" t="str">
        <f t="shared" si="7"/>
        <v>2015-07</v>
      </c>
      <c r="F380" s="63"/>
      <c r="G380" s="36">
        <v>41232.0</v>
      </c>
      <c r="H380" s="34">
        <v>0.774145074237</v>
      </c>
      <c r="J380" t="str">
        <f t="shared" si="8"/>
        <v>2012-11</v>
      </c>
      <c r="K380" s="44"/>
      <c r="L380" s="46">
        <v>41597.0</v>
      </c>
      <c r="M380" s="4">
        <v>0.798492441236</v>
      </c>
      <c r="O380" t="str">
        <f t="shared" si="10"/>
        <v>2013-11</v>
      </c>
      <c r="Q380" s="36">
        <v>42454.0</v>
      </c>
      <c r="R380" s="4">
        <v>0.548130808337</v>
      </c>
      <c r="T380" t="str">
        <f t="shared" si="12"/>
        <v>2016-03</v>
      </c>
      <c r="AB380" s="36">
        <v>40834.0</v>
      </c>
      <c r="AC380" s="4">
        <v>0.751947021006</v>
      </c>
      <c r="AD380" s="47">
        <v>42990.0</v>
      </c>
      <c r="AE380" t="str">
        <f t="shared" si="14"/>
        <v>2011-10</v>
      </c>
      <c r="AF380" t="str">
        <f t="shared" si="15"/>
        <v>2017-09</v>
      </c>
      <c r="AG380" s="36">
        <v>41771.0</v>
      </c>
      <c r="AH380" s="4">
        <v>0.730870403097</v>
      </c>
      <c r="AJ380" s="48" t="str">
        <f t="shared" si="16"/>
        <v>2014-05</v>
      </c>
      <c r="AL380" s="36">
        <v>41538.0</v>
      </c>
      <c r="AM380" s="4">
        <v>0.729924055382</v>
      </c>
      <c r="AN380" s="47">
        <v>40623.0</v>
      </c>
      <c r="AO380" s="49" t="str">
        <f t="shared" si="18"/>
        <v>2013-09</v>
      </c>
      <c r="AP380" t="str">
        <f t="shared" si="19"/>
        <v>2011-03</v>
      </c>
    </row>
    <row r="381">
      <c r="A381" s="36">
        <v>40846.0</v>
      </c>
      <c r="B381" s="34">
        <v>0.718285541623</v>
      </c>
      <c r="C381" s="36">
        <v>42194.0</v>
      </c>
      <c r="D381" t="str">
        <f t="shared" si="6"/>
        <v>2011-10</v>
      </c>
      <c r="E381" s="44" t="str">
        <f t="shared" si="7"/>
        <v>2015-07</v>
      </c>
      <c r="F381" s="63"/>
      <c r="G381" s="36">
        <v>41237.0</v>
      </c>
      <c r="H381" s="34">
        <v>0.700247099522</v>
      </c>
      <c r="J381" t="str">
        <f t="shared" si="8"/>
        <v>2012-11</v>
      </c>
      <c r="K381" s="44"/>
      <c r="L381" s="46">
        <v>41598.0</v>
      </c>
      <c r="M381" s="4">
        <v>0.643359810346</v>
      </c>
      <c r="O381" t="str">
        <f t="shared" si="10"/>
        <v>2013-11</v>
      </c>
      <c r="Q381" s="36">
        <v>42459.0</v>
      </c>
      <c r="R381" s="4">
        <v>0.714811268583</v>
      </c>
      <c r="T381" t="str">
        <f t="shared" si="12"/>
        <v>2016-03</v>
      </c>
      <c r="AB381" s="36">
        <v>40835.0</v>
      </c>
      <c r="AC381" s="4">
        <v>0.786880567405</v>
      </c>
      <c r="AD381" s="47">
        <v>43005.0</v>
      </c>
      <c r="AE381" t="str">
        <f t="shared" si="14"/>
        <v>2011-10</v>
      </c>
      <c r="AF381" t="str">
        <f t="shared" si="15"/>
        <v>2017-09</v>
      </c>
      <c r="AG381" s="36">
        <v>41772.0</v>
      </c>
      <c r="AH381" s="4">
        <v>0.745521311105</v>
      </c>
      <c r="AJ381" s="48" t="str">
        <f t="shared" si="16"/>
        <v>2014-05</v>
      </c>
      <c r="AL381" s="36">
        <v>41544.0</v>
      </c>
      <c r="AM381" s="4">
        <v>0.719120701915</v>
      </c>
      <c r="AN381" s="47">
        <v>40631.0</v>
      </c>
      <c r="AO381" s="49" t="str">
        <f t="shared" si="18"/>
        <v>2013-09</v>
      </c>
      <c r="AP381" t="str">
        <f t="shared" si="19"/>
        <v>2011-03</v>
      </c>
    </row>
    <row r="382">
      <c r="A382" s="36">
        <v>40847.0</v>
      </c>
      <c r="B382" s="34">
        <v>0.64012447202</v>
      </c>
      <c r="C382" s="36">
        <v>42128.0</v>
      </c>
      <c r="D382" t="str">
        <f t="shared" si="6"/>
        <v>2011-10</v>
      </c>
      <c r="E382" s="44" t="str">
        <f t="shared" si="7"/>
        <v>2015-05</v>
      </c>
      <c r="F382" s="63"/>
      <c r="G382" s="36">
        <v>41238.0</v>
      </c>
      <c r="H382" s="34">
        <v>0.748380006031</v>
      </c>
      <c r="J382" t="str">
        <f t="shared" si="8"/>
        <v>2012-11</v>
      </c>
      <c r="K382" s="44"/>
      <c r="L382" s="46">
        <v>41599.0</v>
      </c>
      <c r="M382" s="4">
        <v>0.571771906385</v>
      </c>
      <c r="O382" t="str">
        <f t="shared" si="10"/>
        <v>2013-11</v>
      </c>
      <c r="Q382" s="36">
        <v>42460.0</v>
      </c>
      <c r="R382" s="4">
        <v>0.721022241982</v>
      </c>
      <c r="T382" t="str">
        <f t="shared" si="12"/>
        <v>2016-03</v>
      </c>
      <c r="AB382" s="36">
        <v>40841.0</v>
      </c>
      <c r="AC382" s="4">
        <v>0.68564091647</v>
      </c>
      <c r="AD382" s="47">
        <v>43024.0</v>
      </c>
      <c r="AE382" t="str">
        <f t="shared" si="14"/>
        <v>2011-10</v>
      </c>
      <c r="AF382" t="str">
        <f t="shared" si="15"/>
        <v>2017-10</v>
      </c>
      <c r="AG382" s="36">
        <v>41778.0</v>
      </c>
      <c r="AH382" s="4">
        <v>0.653085122795</v>
      </c>
      <c r="AJ382" s="48" t="str">
        <f t="shared" si="16"/>
        <v>2014-05</v>
      </c>
      <c r="AL382" s="36">
        <v>41551.0</v>
      </c>
      <c r="AM382" s="4">
        <v>0.722721926991</v>
      </c>
      <c r="AN382" s="47">
        <v>40638.0</v>
      </c>
      <c r="AO382" s="49" t="str">
        <f t="shared" si="18"/>
        <v>2013-10</v>
      </c>
      <c r="AP382" t="str">
        <f t="shared" si="19"/>
        <v>2011-04</v>
      </c>
    </row>
    <row r="383">
      <c r="A383" s="36">
        <v>40853.0</v>
      </c>
      <c r="B383" s="34">
        <v>0.681131360811</v>
      </c>
      <c r="C383" s="36">
        <v>42131.0</v>
      </c>
      <c r="D383" t="str">
        <f t="shared" si="6"/>
        <v>2011-11</v>
      </c>
      <c r="E383" s="44" t="str">
        <f t="shared" si="7"/>
        <v>2015-05</v>
      </c>
      <c r="F383" s="63"/>
      <c r="G383" s="36">
        <v>41239.0</v>
      </c>
      <c r="H383" s="34">
        <v>0.739824869614</v>
      </c>
      <c r="J383" t="str">
        <f t="shared" si="8"/>
        <v>2012-11</v>
      </c>
      <c r="K383" s="44"/>
      <c r="L383" s="46">
        <v>41605.0</v>
      </c>
      <c r="M383" s="4">
        <v>0.68389295825</v>
      </c>
      <c r="O383" t="str">
        <f t="shared" si="10"/>
        <v>2013-11</v>
      </c>
      <c r="Q383" s="36">
        <v>42461.0</v>
      </c>
      <c r="R383" s="4">
        <v>0.610562693044</v>
      </c>
      <c r="T383" t="str">
        <f t="shared" si="12"/>
        <v>2016-04</v>
      </c>
      <c r="AB383" s="36">
        <v>40842.0</v>
      </c>
      <c r="AC383" s="4">
        <v>0.739933337723</v>
      </c>
      <c r="AE383" t="str">
        <f t="shared" si="14"/>
        <v>2011-10</v>
      </c>
      <c r="AG383" s="36">
        <v>41779.0</v>
      </c>
      <c r="AH383" s="4">
        <v>0.64921441603</v>
      </c>
      <c r="AJ383" s="48" t="str">
        <f t="shared" si="16"/>
        <v>2014-05</v>
      </c>
      <c r="AL383" s="36">
        <v>41558.0</v>
      </c>
      <c r="AM383" s="4">
        <v>0.787816926346</v>
      </c>
      <c r="AN383" s="47">
        <v>40645.0</v>
      </c>
      <c r="AO383" s="49" t="str">
        <f t="shared" si="18"/>
        <v>2013-10</v>
      </c>
      <c r="AP383" t="str">
        <f t="shared" si="19"/>
        <v>2011-04</v>
      </c>
    </row>
    <row r="384">
      <c r="A384" s="36">
        <v>40854.0</v>
      </c>
      <c r="B384" s="34">
        <v>0.682078196778</v>
      </c>
      <c r="C384" s="36">
        <v>42139.0</v>
      </c>
      <c r="D384" t="str">
        <f t="shared" si="6"/>
        <v>2011-11</v>
      </c>
      <c r="E384" s="44" t="str">
        <f t="shared" si="7"/>
        <v>2015-05</v>
      </c>
      <c r="F384" s="63"/>
      <c r="G384" s="36">
        <v>41244.0</v>
      </c>
      <c r="H384" s="34">
        <v>0.764111931902</v>
      </c>
      <c r="J384" t="str">
        <f t="shared" si="8"/>
        <v>2012-12</v>
      </c>
      <c r="K384" s="44"/>
      <c r="L384" s="46">
        <v>41612.0</v>
      </c>
      <c r="M384" s="4">
        <v>0.666806830627</v>
      </c>
      <c r="O384" t="str">
        <f t="shared" si="10"/>
        <v>2013-12</v>
      </c>
      <c r="Q384" s="36">
        <v>42466.0</v>
      </c>
      <c r="R384" s="4">
        <v>0.792034481462</v>
      </c>
      <c r="T384" t="str">
        <f t="shared" si="12"/>
        <v>2016-04</v>
      </c>
      <c r="AB384" s="36">
        <v>40848.0</v>
      </c>
      <c r="AC384" s="4">
        <v>0.746611797141</v>
      </c>
      <c r="AE384" t="str">
        <f t="shared" si="14"/>
        <v>2011-11</v>
      </c>
      <c r="AG384" s="36">
        <v>41785.0</v>
      </c>
      <c r="AH384" s="4">
        <v>0.695580247361</v>
      </c>
      <c r="AJ384" s="48" t="str">
        <f t="shared" si="16"/>
        <v>2014-05</v>
      </c>
      <c r="AL384" s="36">
        <v>41559.0</v>
      </c>
      <c r="AM384" s="4">
        <v>0.831295350884</v>
      </c>
      <c r="AN384" s="47">
        <v>40652.0</v>
      </c>
      <c r="AO384" s="49" t="str">
        <f t="shared" si="18"/>
        <v>2013-10</v>
      </c>
      <c r="AP384" t="str">
        <f t="shared" si="19"/>
        <v>2011-04</v>
      </c>
    </row>
    <row r="385">
      <c r="A385" s="36">
        <v>40860.0</v>
      </c>
      <c r="B385" s="34">
        <v>0.723770934662</v>
      </c>
      <c r="C385" s="36">
        <v>42148.0</v>
      </c>
      <c r="D385" t="str">
        <f t="shared" si="6"/>
        <v>2011-11</v>
      </c>
      <c r="E385" s="44" t="str">
        <f t="shared" si="7"/>
        <v>2015-05</v>
      </c>
      <c r="F385" s="63"/>
      <c r="G385" s="36">
        <v>41245.0</v>
      </c>
      <c r="H385" s="34">
        <v>0.773635352511</v>
      </c>
      <c r="J385" t="str">
        <f t="shared" si="8"/>
        <v>2012-12</v>
      </c>
      <c r="K385" s="44"/>
      <c r="L385" s="46">
        <v>41613.0</v>
      </c>
      <c r="M385" s="4">
        <v>0.882028100105</v>
      </c>
      <c r="O385" t="str">
        <f t="shared" si="10"/>
        <v>2013-12</v>
      </c>
      <c r="Q385" s="36">
        <v>42467.0</v>
      </c>
      <c r="R385" s="4">
        <v>0.694537959596</v>
      </c>
      <c r="T385" t="str">
        <f t="shared" si="12"/>
        <v>2016-04</v>
      </c>
      <c r="AB385" s="36">
        <v>40849.0</v>
      </c>
      <c r="AC385" s="4">
        <v>0.726604126328</v>
      </c>
      <c r="AE385" t="str">
        <f t="shared" si="14"/>
        <v>2011-11</v>
      </c>
      <c r="AG385" s="36">
        <v>41786.0</v>
      </c>
      <c r="AH385" s="4">
        <v>0.584500385055</v>
      </c>
      <c r="AJ385" s="48" t="str">
        <f t="shared" si="16"/>
        <v>2014-05</v>
      </c>
      <c r="AL385" s="36">
        <v>41565.0</v>
      </c>
      <c r="AM385" s="4">
        <v>0.72894925545</v>
      </c>
      <c r="AO385" s="49" t="str">
        <f t="shared" si="18"/>
        <v>2013-10</v>
      </c>
    </row>
    <row r="386">
      <c r="A386" s="36">
        <v>40861.0</v>
      </c>
      <c r="B386" s="34">
        <v>0.580348807033</v>
      </c>
      <c r="C386" s="36">
        <v>42155.0</v>
      </c>
      <c r="D386" t="str">
        <f t="shared" si="6"/>
        <v>2011-11</v>
      </c>
      <c r="E386" s="44" t="str">
        <f t="shared" si="7"/>
        <v>2015-05</v>
      </c>
      <c r="F386" s="63"/>
      <c r="G386" s="36">
        <v>41246.0</v>
      </c>
      <c r="H386" s="34">
        <v>0.587952272938</v>
      </c>
      <c r="J386" t="str">
        <f t="shared" si="8"/>
        <v>2012-12</v>
      </c>
      <c r="K386" s="44"/>
      <c r="L386" s="46">
        <v>41619.0</v>
      </c>
      <c r="M386" s="4">
        <v>0.747598669576</v>
      </c>
      <c r="O386" t="str">
        <f t="shared" si="10"/>
        <v>2013-12</v>
      </c>
      <c r="Q386" s="36">
        <v>42468.0</v>
      </c>
      <c r="R386" s="4">
        <v>0.651588728258</v>
      </c>
      <c r="T386" t="str">
        <f t="shared" si="12"/>
        <v>2016-04</v>
      </c>
      <c r="AB386" s="36">
        <v>40855.0</v>
      </c>
      <c r="AC386" s="4">
        <v>0.733388512488</v>
      </c>
      <c r="AE386" t="str">
        <f t="shared" si="14"/>
        <v>2011-11</v>
      </c>
      <c r="AG386" s="36">
        <v>41792.0</v>
      </c>
      <c r="AH386" s="4">
        <v>0.705453621181</v>
      </c>
      <c r="AJ386" s="48" t="str">
        <f t="shared" si="16"/>
        <v>2014-06</v>
      </c>
      <c r="AL386" s="36">
        <v>41566.0</v>
      </c>
      <c r="AM386" s="4">
        <v>0.66973648415</v>
      </c>
      <c r="AO386" s="49" t="str">
        <f t="shared" si="18"/>
        <v>2013-10</v>
      </c>
    </row>
    <row r="387">
      <c r="A387" s="36">
        <v>40867.0</v>
      </c>
      <c r="B387" s="34">
        <v>0.771831317557</v>
      </c>
      <c r="C387" s="36">
        <v>42156.0</v>
      </c>
      <c r="D387" t="str">
        <f t="shared" si="6"/>
        <v>2011-11</v>
      </c>
      <c r="E387" s="44" t="str">
        <f t="shared" si="7"/>
        <v>2015-06</v>
      </c>
      <c r="F387" s="63"/>
      <c r="G387" s="36">
        <v>41252.0</v>
      </c>
      <c r="H387" s="34">
        <v>0.758579118811</v>
      </c>
      <c r="J387" t="str">
        <f t="shared" si="8"/>
        <v>2012-12</v>
      </c>
      <c r="K387" s="44"/>
      <c r="L387" s="46">
        <v>41620.0</v>
      </c>
      <c r="M387" s="4">
        <v>0.819381875003</v>
      </c>
      <c r="O387" t="str">
        <f t="shared" si="10"/>
        <v>2013-12</v>
      </c>
      <c r="Q387" s="36">
        <v>42474.0</v>
      </c>
      <c r="R387" s="4">
        <v>0.802748995442</v>
      </c>
      <c r="T387" t="str">
        <f t="shared" si="12"/>
        <v>2016-04</v>
      </c>
      <c r="AB387" s="36">
        <v>40856.0</v>
      </c>
      <c r="AC387" s="4">
        <v>0.530152871806</v>
      </c>
      <c r="AE387" t="str">
        <f t="shared" si="14"/>
        <v>2011-11</v>
      </c>
      <c r="AG387" s="36">
        <v>41793.0</v>
      </c>
      <c r="AH387" s="4">
        <v>0.637444448151</v>
      </c>
      <c r="AJ387" s="48" t="str">
        <f t="shared" si="16"/>
        <v>2014-06</v>
      </c>
      <c r="AL387" s="36">
        <v>41572.0</v>
      </c>
      <c r="AM387" s="4">
        <v>0.746854897237</v>
      </c>
      <c r="AO387" s="49" t="str">
        <f t="shared" si="18"/>
        <v>2013-10</v>
      </c>
    </row>
    <row r="388">
      <c r="A388" s="36">
        <v>40868.0</v>
      </c>
      <c r="B388" s="34">
        <v>0.641427060467</v>
      </c>
      <c r="C388" s="36">
        <v>42168.0</v>
      </c>
      <c r="D388" t="str">
        <f t="shared" si="6"/>
        <v>2011-11</v>
      </c>
      <c r="E388" s="44" t="str">
        <f t="shared" si="7"/>
        <v>2015-06</v>
      </c>
      <c r="F388" s="63"/>
      <c r="G388" s="36">
        <v>41253.0</v>
      </c>
      <c r="H388" s="34">
        <v>0.727912822201</v>
      </c>
      <c r="J388" t="str">
        <f t="shared" si="8"/>
        <v>2012-12</v>
      </c>
      <c r="K388" s="44"/>
      <c r="L388" s="46">
        <v>41626.0</v>
      </c>
      <c r="M388" s="4">
        <v>0.722843895587</v>
      </c>
      <c r="O388" t="str">
        <f t="shared" si="10"/>
        <v>2013-12</v>
      </c>
      <c r="Q388" s="36">
        <v>42475.0</v>
      </c>
      <c r="R388" s="4">
        <v>0.909752760815</v>
      </c>
      <c r="T388" t="str">
        <f t="shared" si="12"/>
        <v>2016-04</v>
      </c>
      <c r="AB388" s="36">
        <v>40862.0</v>
      </c>
      <c r="AC388" s="4">
        <v>0.720542905122</v>
      </c>
      <c r="AE388" t="str">
        <f t="shared" si="14"/>
        <v>2011-11</v>
      </c>
      <c r="AG388" s="36">
        <v>41799.0</v>
      </c>
      <c r="AH388" s="4">
        <v>0.743726294519</v>
      </c>
      <c r="AJ388" s="48" t="str">
        <f t="shared" si="16"/>
        <v>2014-06</v>
      </c>
      <c r="AL388" s="36">
        <v>41573.0</v>
      </c>
      <c r="AM388" s="4">
        <v>0.644149399945</v>
      </c>
      <c r="AO388" s="49" t="str">
        <f t="shared" si="18"/>
        <v>2013-10</v>
      </c>
    </row>
    <row r="389">
      <c r="A389" s="36">
        <v>40874.0</v>
      </c>
      <c r="B389" s="34">
        <v>0.679709067886</v>
      </c>
      <c r="C389" s="36">
        <v>42178.0</v>
      </c>
      <c r="D389" t="str">
        <f t="shared" si="6"/>
        <v>2011-11</v>
      </c>
      <c r="E389" s="44" t="str">
        <f t="shared" si="7"/>
        <v>2015-06</v>
      </c>
      <c r="F389" s="63"/>
      <c r="G389" s="36">
        <v>41258.0</v>
      </c>
      <c r="H389" s="34">
        <v>0.759081629008</v>
      </c>
      <c r="J389" t="str">
        <f t="shared" si="8"/>
        <v>2012-12</v>
      </c>
      <c r="K389" s="44"/>
      <c r="L389" s="46">
        <v>41627.0</v>
      </c>
      <c r="M389" s="4">
        <v>0.686653193082</v>
      </c>
      <c r="O389" t="str">
        <f t="shared" si="10"/>
        <v>2013-12</v>
      </c>
      <c r="Q389" s="36">
        <v>42481.0</v>
      </c>
      <c r="R389" s="4">
        <v>0.756491216835</v>
      </c>
      <c r="T389" t="str">
        <f t="shared" si="12"/>
        <v>2016-04</v>
      </c>
      <c r="AB389" s="36">
        <v>40863.0</v>
      </c>
      <c r="AC389" s="4">
        <v>0.685481428259</v>
      </c>
      <c r="AE389" t="str">
        <f t="shared" si="14"/>
        <v>2011-11</v>
      </c>
      <c r="AG389" s="36">
        <v>41800.0</v>
      </c>
      <c r="AH389" s="4">
        <v>0.705721763853</v>
      </c>
      <c r="AJ389" s="48" t="str">
        <f t="shared" si="16"/>
        <v>2014-06</v>
      </c>
      <c r="AL389" s="36">
        <v>41579.0</v>
      </c>
      <c r="AM389" s="4">
        <v>0.776968259262</v>
      </c>
      <c r="AO389" s="49" t="str">
        <f t="shared" si="18"/>
        <v>2013-11</v>
      </c>
    </row>
    <row r="390">
      <c r="A390" s="36">
        <v>40875.0</v>
      </c>
      <c r="B390" s="34">
        <v>0.796178287967</v>
      </c>
      <c r="C390" s="36">
        <v>42187.0</v>
      </c>
      <c r="D390" t="str">
        <f t="shared" si="6"/>
        <v>2011-11</v>
      </c>
      <c r="E390" s="44" t="str">
        <f t="shared" si="7"/>
        <v>2015-07</v>
      </c>
      <c r="F390" s="63"/>
      <c r="G390" s="36">
        <v>41259.0</v>
      </c>
      <c r="H390" s="34">
        <v>0.600448548678</v>
      </c>
      <c r="J390" t="str">
        <f t="shared" si="8"/>
        <v>2012-12</v>
      </c>
      <c r="K390" s="44"/>
      <c r="L390" s="46">
        <v>41632.0</v>
      </c>
      <c r="M390" s="4">
        <v>0.70665035417</v>
      </c>
      <c r="O390" t="str">
        <f t="shared" si="10"/>
        <v>2013-12</v>
      </c>
      <c r="Q390" s="36">
        <v>42482.0</v>
      </c>
      <c r="R390" s="4">
        <v>0.822765489305</v>
      </c>
      <c r="T390" t="str">
        <f t="shared" si="12"/>
        <v>2016-04</v>
      </c>
      <c r="AB390" s="36">
        <v>40869.0</v>
      </c>
      <c r="AC390" s="4">
        <v>0.622105221293</v>
      </c>
      <c r="AE390" t="str">
        <f t="shared" si="14"/>
        <v>2011-11</v>
      </c>
      <c r="AG390" s="36">
        <v>41806.0</v>
      </c>
      <c r="AH390" s="4">
        <v>0.627958486083</v>
      </c>
      <c r="AJ390" s="48" t="str">
        <f t="shared" si="16"/>
        <v>2014-06</v>
      </c>
      <c r="AL390" s="36">
        <v>41580.0</v>
      </c>
      <c r="AM390" s="4">
        <v>0.860168301613</v>
      </c>
      <c r="AO390" s="49" t="str">
        <f t="shared" si="18"/>
        <v>2013-11</v>
      </c>
    </row>
    <row r="391">
      <c r="A391" s="36">
        <v>40881.0</v>
      </c>
      <c r="B391" s="34">
        <v>0.744390415261</v>
      </c>
      <c r="C391" s="36">
        <v>42189.0</v>
      </c>
      <c r="D391" t="str">
        <f t="shared" si="6"/>
        <v>2011-12</v>
      </c>
      <c r="E391" s="44" t="str">
        <f t="shared" si="7"/>
        <v>2015-07</v>
      </c>
      <c r="F391" s="63"/>
      <c r="G391" s="36">
        <v>41260.0</v>
      </c>
      <c r="H391" s="34">
        <v>0.523906660971</v>
      </c>
      <c r="J391" t="str">
        <f t="shared" si="8"/>
        <v>2012-12</v>
      </c>
      <c r="K391" s="44"/>
      <c r="L391" s="46">
        <v>41633.0</v>
      </c>
      <c r="M391" s="4">
        <v>0.668471582019</v>
      </c>
      <c r="O391" t="str">
        <f t="shared" si="10"/>
        <v>2013-12</v>
      </c>
      <c r="Q391" s="36">
        <v>42488.0</v>
      </c>
      <c r="R391" s="4">
        <v>0.750401505732</v>
      </c>
      <c r="T391" t="str">
        <f t="shared" si="12"/>
        <v>2016-04</v>
      </c>
      <c r="AB391" s="36">
        <v>40870.0</v>
      </c>
      <c r="AC391" s="4">
        <v>0.808370032577</v>
      </c>
      <c r="AE391" t="str">
        <f t="shared" si="14"/>
        <v>2011-11</v>
      </c>
      <c r="AG391" s="36">
        <v>41807.0</v>
      </c>
      <c r="AH391" s="4">
        <v>0.643654830871</v>
      </c>
      <c r="AJ391" s="48" t="str">
        <f t="shared" si="16"/>
        <v>2014-06</v>
      </c>
      <c r="AL391" s="36">
        <v>41586.0</v>
      </c>
      <c r="AM391" s="4">
        <v>0.790926642909</v>
      </c>
      <c r="AO391" s="49" t="str">
        <f t="shared" si="18"/>
        <v>2013-11</v>
      </c>
    </row>
    <row r="392">
      <c r="A392" s="36">
        <v>40882.0</v>
      </c>
      <c r="B392" s="34">
        <v>0.620161530266</v>
      </c>
      <c r="C392" s="36">
        <v>42194.0</v>
      </c>
      <c r="D392" t="str">
        <f t="shared" si="6"/>
        <v>2011-12</v>
      </c>
      <c r="E392" s="44" t="str">
        <f t="shared" si="7"/>
        <v>2015-07</v>
      </c>
      <c r="F392" s="63"/>
      <c r="G392" s="36">
        <v>41265.0</v>
      </c>
      <c r="H392" s="34">
        <v>0.825906182507</v>
      </c>
      <c r="J392" t="str">
        <f t="shared" si="8"/>
        <v>2012-12</v>
      </c>
      <c r="K392" s="44"/>
      <c r="L392" s="46">
        <v>41634.0</v>
      </c>
      <c r="M392" s="4">
        <v>0.480378465635</v>
      </c>
      <c r="O392" t="str">
        <f t="shared" si="10"/>
        <v>2013-12</v>
      </c>
      <c r="Q392" s="36">
        <v>42489.0</v>
      </c>
      <c r="R392" s="4">
        <v>0.868518971661</v>
      </c>
      <c r="T392" t="str">
        <f t="shared" si="12"/>
        <v>2016-04</v>
      </c>
      <c r="AB392" s="36">
        <v>40876.0</v>
      </c>
      <c r="AC392" s="4">
        <v>0.752881612188</v>
      </c>
      <c r="AE392" t="str">
        <f t="shared" si="14"/>
        <v>2011-11</v>
      </c>
      <c r="AG392" s="36">
        <v>41813.0</v>
      </c>
      <c r="AH392" s="4">
        <v>0.676984133012</v>
      </c>
      <c r="AJ392" s="48" t="str">
        <f t="shared" si="16"/>
        <v>2014-06</v>
      </c>
      <c r="AL392" s="36">
        <v>41593.0</v>
      </c>
      <c r="AM392" s="4">
        <v>0.751830850156</v>
      </c>
      <c r="AO392" s="49" t="str">
        <f t="shared" si="18"/>
        <v>2013-11</v>
      </c>
    </row>
    <row r="393">
      <c r="A393" s="36">
        <v>40888.0</v>
      </c>
      <c r="B393" s="34">
        <v>0.692007468793</v>
      </c>
      <c r="C393" s="36">
        <v>42202.0</v>
      </c>
      <c r="D393" t="str">
        <f t="shared" si="6"/>
        <v>2011-12</v>
      </c>
      <c r="E393" s="44" t="str">
        <f t="shared" si="7"/>
        <v>2015-07</v>
      </c>
      <c r="F393" s="63"/>
      <c r="G393" s="36">
        <v>41266.0</v>
      </c>
      <c r="H393" s="34">
        <v>0.745169218304</v>
      </c>
      <c r="J393" t="str">
        <f t="shared" si="8"/>
        <v>2012-12</v>
      </c>
      <c r="K393" s="44"/>
      <c r="L393" s="46">
        <v>41639.0</v>
      </c>
      <c r="M393" s="4">
        <v>0.746404951788</v>
      </c>
      <c r="O393" t="str">
        <f t="shared" si="10"/>
        <v>2013-12</v>
      </c>
      <c r="Q393" s="36">
        <v>42494.0</v>
      </c>
      <c r="R393" s="4">
        <v>0.72818313462</v>
      </c>
      <c r="T393" t="str">
        <f t="shared" si="12"/>
        <v>2016-05</v>
      </c>
      <c r="AB393" s="36">
        <v>40877.0</v>
      </c>
      <c r="AC393" s="4">
        <v>0.733935033178</v>
      </c>
      <c r="AE393" t="str">
        <f t="shared" si="14"/>
        <v>2011-11</v>
      </c>
      <c r="AG393" s="36">
        <v>41814.0</v>
      </c>
      <c r="AH393" s="4">
        <v>0.577387169669</v>
      </c>
      <c r="AJ393" s="48" t="str">
        <f t="shared" si="16"/>
        <v>2014-06</v>
      </c>
      <c r="AL393" s="36">
        <v>41600.0</v>
      </c>
      <c r="AM393" s="4">
        <v>0.744821771652</v>
      </c>
      <c r="AO393" s="49" t="str">
        <f t="shared" si="18"/>
        <v>2013-11</v>
      </c>
    </row>
    <row r="394">
      <c r="A394" s="36">
        <v>40889.0</v>
      </c>
      <c r="B394" s="34">
        <v>0.731441352073</v>
      </c>
      <c r="C394" s="36">
        <v>42213.0</v>
      </c>
      <c r="D394" t="str">
        <f t="shared" si="6"/>
        <v>2011-12</v>
      </c>
      <c r="E394" s="44" t="str">
        <f t="shared" si="7"/>
        <v>2015-07</v>
      </c>
      <c r="F394" s="63"/>
      <c r="G394" s="36">
        <v>41267.0</v>
      </c>
      <c r="H394" s="34">
        <v>0.702717594359</v>
      </c>
      <c r="J394" t="str">
        <f t="shared" si="8"/>
        <v>2012-12</v>
      </c>
      <c r="K394" s="44"/>
      <c r="L394" s="46">
        <v>41640.0</v>
      </c>
      <c r="M394" s="4">
        <v>0.71537861242</v>
      </c>
      <c r="O394" t="str">
        <f t="shared" si="10"/>
        <v>2014-01</v>
      </c>
      <c r="Q394" s="36">
        <v>42495.0</v>
      </c>
      <c r="R394" s="4">
        <v>0.74086989635</v>
      </c>
      <c r="T394" t="str">
        <f t="shared" si="12"/>
        <v>2016-05</v>
      </c>
      <c r="AB394" s="36">
        <v>40883.0</v>
      </c>
      <c r="AC394" s="4">
        <v>0.66057618496</v>
      </c>
      <c r="AE394" t="str">
        <f t="shared" si="14"/>
        <v>2011-12</v>
      </c>
      <c r="AG394" s="36">
        <v>41820.0</v>
      </c>
      <c r="AH394" s="4">
        <v>0.682133879897</v>
      </c>
      <c r="AJ394" s="48" t="str">
        <f t="shared" si="16"/>
        <v>2014-06</v>
      </c>
      <c r="AL394" s="36">
        <v>41607.0</v>
      </c>
      <c r="AM394" s="4">
        <v>0.751070446717</v>
      </c>
      <c r="AO394" s="49" t="str">
        <f t="shared" si="18"/>
        <v>2013-11</v>
      </c>
    </row>
    <row r="395">
      <c r="A395" s="36">
        <v>40895.0</v>
      </c>
      <c r="B395" s="34">
        <v>0.719598585351</v>
      </c>
      <c r="C395" s="36">
        <v>42185.0</v>
      </c>
      <c r="D395" t="str">
        <f t="shared" si="6"/>
        <v>2011-12</v>
      </c>
      <c r="E395" s="44" t="str">
        <f t="shared" si="7"/>
        <v>2015-06</v>
      </c>
      <c r="F395" s="63"/>
      <c r="G395" s="36">
        <v>41273.0</v>
      </c>
      <c r="H395" s="34">
        <v>0.736938564505</v>
      </c>
      <c r="J395" t="str">
        <f t="shared" si="8"/>
        <v>2012-12</v>
      </c>
      <c r="K395" s="44"/>
      <c r="L395" s="46">
        <v>41647.0</v>
      </c>
      <c r="M395" s="4">
        <v>0.674641733072</v>
      </c>
      <c r="O395" t="str">
        <f t="shared" si="10"/>
        <v>2014-01</v>
      </c>
      <c r="Q395" s="36">
        <v>42496.0</v>
      </c>
      <c r="R395" s="4">
        <v>0.878151995486</v>
      </c>
      <c r="T395" t="str">
        <f t="shared" si="12"/>
        <v>2016-05</v>
      </c>
      <c r="AB395" s="36">
        <v>40884.0</v>
      </c>
      <c r="AC395" s="4">
        <v>0.163672083176</v>
      </c>
      <c r="AE395" t="str">
        <f t="shared" si="14"/>
        <v>2011-12</v>
      </c>
      <c r="AG395" s="36">
        <v>41821.0</v>
      </c>
      <c r="AH395" s="4">
        <v>0.668181347112</v>
      </c>
      <c r="AJ395" s="48" t="str">
        <f t="shared" si="16"/>
        <v>2014-07</v>
      </c>
      <c r="AL395" s="36">
        <v>41614.0</v>
      </c>
      <c r="AM395" s="4">
        <v>0.728349160916</v>
      </c>
      <c r="AO395" s="49" t="str">
        <f t="shared" si="18"/>
        <v>2013-12</v>
      </c>
    </row>
    <row r="396">
      <c r="A396" s="36">
        <v>40896.0</v>
      </c>
      <c r="B396" s="34">
        <v>0.555811045548</v>
      </c>
      <c r="C396" s="36">
        <v>42187.0</v>
      </c>
      <c r="D396" t="str">
        <f t="shared" si="6"/>
        <v>2011-12</v>
      </c>
      <c r="E396" s="44" t="str">
        <f t="shared" si="7"/>
        <v>2015-07</v>
      </c>
      <c r="F396" s="63"/>
      <c r="G396" s="36">
        <v>41274.0</v>
      </c>
      <c r="H396" s="34">
        <v>0.357072738631</v>
      </c>
      <c r="J396" t="str">
        <f t="shared" si="8"/>
        <v>2012-12</v>
      </c>
      <c r="K396" s="44"/>
      <c r="L396" s="46">
        <v>41648.0</v>
      </c>
      <c r="M396" s="4">
        <v>0.583420418062</v>
      </c>
      <c r="O396" t="str">
        <f t="shared" si="10"/>
        <v>2014-01</v>
      </c>
      <c r="Q396" s="36">
        <v>42502.0</v>
      </c>
      <c r="R396" s="4">
        <v>0.760731831582</v>
      </c>
      <c r="T396" t="str">
        <f t="shared" si="12"/>
        <v>2016-05</v>
      </c>
      <c r="AB396" s="36">
        <v>40890.0</v>
      </c>
      <c r="AC396" s="4">
        <v>0.699259310663</v>
      </c>
      <c r="AE396" t="str">
        <f t="shared" si="14"/>
        <v>2011-12</v>
      </c>
      <c r="AG396" s="36">
        <v>41827.0</v>
      </c>
      <c r="AH396" s="4">
        <v>0.64038327232</v>
      </c>
      <c r="AJ396" s="48" t="str">
        <f t="shared" si="16"/>
        <v>2014-07</v>
      </c>
      <c r="AL396" s="36">
        <v>41621.0</v>
      </c>
      <c r="AM396" s="4">
        <v>0.780242250983</v>
      </c>
      <c r="AO396" s="49" t="str">
        <f t="shared" si="18"/>
        <v>2013-12</v>
      </c>
    </row>
    <row r="397">
      <c r="A397" s="36">
        <v>40902.0</v>
      </c>
      <c r="B397" s="34">
        <v>0.687997085163</v>
      </c>
      <c r="C397" s="36">
        <v>42198.0</v>
      </c>
      <c r="D397" t="str">
        <f t="shared" si="6"/>
        <v>2011-12</v>
      </c>
      <c r="E397" s="44" t="str">
        <f t="shared" si="7"/>
        <v>2015-07</v>
      </c>
      <c r="F397" s="63"/>
      <c r="G397" s="36">
        <v>41280.0</v>
      </c>
      <c r="H397" s="34">
        <v>0.690660166987</v>
      </c>
      <c r="J397" t="str">
        <f t="shared" si="8"/>
        <v>2013-01</v>
      </c>
      <c r="K397" s="44"/>
      <c r="L397" s="46">
        <v>41654.0</v>
      </c>
      <c r="M397" s="4">
        <v>0.698164872188</v>
      </c>
      <c r="O397" t="str">
        <f t="shared" si="10"/>
        <v>2014-01</v>
      </c>
      <c r="Q397" s="36">
        <v>42503.0</v>
      </c>
      <c r="R397" s="4">
        <v>0.624995103476</v>
      </c>
      <c r="T397" t="str">
        <f t="shared" si="12"/>
        <v>2016-05</v>
      </c>
      <c r="AB397" s="36">
        <v>40891.0</v>
      </c>
      <c r="AC397" s="4">
        <v>0.878738003109</v>
      </c>
      <c r="AE397" t="str">
        <f t="shared" si="14"/>
        <v>2011-12</v>
      </c>
      <c r="AG397" s="36">
        <v>41828.0</v>
      </c>
      <c r="AH397" s="4">
        <v>0.767355672826</v>
      </c>
      <c r="AJ397" s="48" t="str">
        <f t="shared" si="16"/>
        <v>2014-07</v>
      </c>
      <c r="AL397" s="36">
        <v>41622.0</v>
      </c>
      <c r="AM397" s="4">
        <v>0.724801699001</v>
      </c>
      <c r="AO397" s="49" t="str">
        <f t="shared" si="18"/>
        <v>2013-12</v>
      </c>
    </row>
    <row r="398">
      <c r="A398" s="36">
        <v>40903.0</v>
      </c>
      <c r="B398" s="34">
        <v>0.793791826597</v>
      </c>
      <c r="C398" s="36">
        <v>42207.0</v>
      </c>
      <c r="D398" t="str">
        <f t="shared" si="6"/>
        <v>2011-12</v>
      </c>
      <c r="E398" s="44" t="str">
        <f t="shared" si="7"/>
        <v>2015-07</v>
      </c>
      <c r="F398" s="63"/>
      <c r="G398" s="36">
        <v>41281.0</v>
      </c>
      <c r="H398" s="34">
        <v>0.57513223445</v>
      </c>
      <c r="J398" t="str">
        <f t="shared" si="8"/>
        <v>2013-01</v>
      </c>
      <c r="K398" s="44"/>
      <c r="L398" s="46">
        <v>41655.0</v>
      </c>
      <c r="M398" s="4">
        <v>0.834256457742</v>
      </c>
      <c r="O398" t="str">
        <f t="shared" si="10"/>
        <v>2014-01</v>
      </c>
      <c r="Q398" s="36">
        <v>42508.0</v>
      </c>
      <c r="R398" s="4">
        <v>0.694625384335</v>
      </c>
      <c r="T398" t="str">
        <f t="shared" si="12"/>
        <v>2016-05</v>
      </c>
      <c r="AB398" s="36">
        <v>40897.0</v>
      </c>
      <c r="AC398" s="4">
        <v>0.662981091929</v>
      </c>
      <c r="AE398" t="str">
        <f t="shared" si="14"/>
        <v>2011-12</v>
      </c>
      <c r="AG398" s="36">
        <v>41834.0</v>
      </c>
      <c r="AH398" s="4">
        <v>0.676401384088</v>
      </c>
      <c r="AJ398" s="48" t="str">
        <f t="shared" si="16"/>
        <v>2014-07</v>
      </c>
      <c r="AL398" s="36">
        <v>41628.0</v>
      </c>
      <c r="AM398" s="4">
        <v>0.675532596105</v>
      </c>
      <c r="AO398" s="49" t="str">
        <f t="shared" si="18"/>
        <v>2013-12</v>
      </c>
    </row>
    <row r="399">
      <c r="A399" s="36">
        <v>40909.0</v>
      </c>
      <c r="B399" s="34">
        <v>0.655912633779</v>
      </c>
      <c r="C399" s="36">
        <v>42209.0</v>
      </c>
      <c r="D399" t="str">
        <f t="shared" si="6"/>
        <v>2012-01</v>
      </c>
      <c r="E399" s="44" t="str">
        <f t="shared" si="7"/>
        <v>2015-07</v>
      </c>
      <c r="F399" s="63"/>
      <c r="G399" s="36">
        <v>41287.0</v>
      </c>
      <c r="H399" s="34">
        <v>0.713842046916</v>
      </c>
      <c r="J399" t="str">
        <f t="shared" si="8"/>
        <v>2013-01</v>
      </c>
      <c r="K399" s="44"/>
      <c r="L399" s="46">
        <v>41661.0</v>
      </c>
      <c r="M399" s="4">
        <v>0.686102370389</v>
      </c>
      <c r="O399" t="str">
        <f t="shared" si="10"/>
        <v>2014-01</v>
      </c>
      <c r="Q399" s="36">
        <v>42509.0</v>
      </c>
      <c r="R399" s="4">
        <v>0.709358115395</v>
      </c>
      <c r="T399" t="str">
        <f t="shared" si="12"/>
        <v>2016-05</v>
      </c>
      <c r="AB399" s="36">
        <v>40898.0</v>
      </c>
      <c r="AC399" s="4">
        <v>0.785530549574</v>
      </c>
      <c r="AE399" t="str">
        <f t="shared" si="14"/>
        <v>2011-12</v>
      </c>
      <c r="AG399" s="36">
        <v>41835.0</v>
      </c>
      <c r="AH399" s="4">
        <v>0.707638625388</v>
      </c>
      <c r="AJ399" s="48" t="str">
        <f t="shared" si="16"/>
        <v>2014-07</v>
      </c>
      <c r="AL399" s="36">
        <v>41629.0</v>
      </c>
      <c r="AM399" s="4">
        <v>0.911987684387</v>
      </c>
      <c r="AO399" s="49" t="str">
        <f t="shared" si="18"/>
        <v>2013-12</v>
      </c>
    </row>
    <row r="400">
      <c r="A400" s="36">
        <v>40910.0</v>
      </c>
      <c r="B400" s="34">
        <v>0.667768444195</v>
      </c>
      <c r="C400" s="36">
        <v>42215.0</v>
      </c>
      <c r="D400" t="str">
        <f t="shared" si="6"/>
        <v>2012-01</v>
      </c>
      <c r="E400" s="44" t="str">
        <f t="shared" si="7"/>
        <v>2015-07</v>
      </c>
      <c r="F400" s="63"/>
      <c r="G400" s="36">
        <v>41288.0</v>
      </c>
      <c r="H400" s="34">
        <v>0.766790333465</v>
      </c>
      <c r="J400" t="str">
        <f t="shared" si="8"/>
        <v>2013-01</v>
      </c>
      <c r="K400" s="44"/>
      <c r="L400" s="46">
        <v>41662.0</v>
      </c>
      <c r="M400" s="4">
        <v>0.637914106397</v>
      </c>
      <c r="O400" t="str">
        <f t="shared" si="10"/>
        <v>2014-01</v>
      </c>
      <c r="Q400" s="36">
        <v>42510.0</v>
      </c>
      <c r="R400" s="4">
        <v>0.768628867711</v>
      </c>
      <c r="T400" t="str">
        <f t="shared" si="12"/>
        <v>2016-05</v>
      </c>
      <c r="AB400" s="36">
        <v>40904.0</v>
      </c>
      <c r="AC400" s="4">
        <v>0.710313820445</v>
      </c>
      <c r="AE400" t="str">
        <f t="shared" si="14"/>
        <v>2011-12</v>
      </c>
      <c r="AG400" s="36">
        <v>41841.0</v>
      </c>
      <c r="AH400" s="4">
        <v>0.655817363132</v>
      </c>
      <c r="AJ400" s="48" t="str">
        <f t="shared" si="16"/>
        <v>2014-07</v>
      </c>
      <c r="AL400" s="36">
        <v>41635.0</v>
      </c>
      <c r="AM400" s="4">
        <v>0.674811265929</v>
      </c>
      <c r="AO400" s="49" t="str">
        <f t="shared" si="18"/>
        <v>2013-12</v>
      </c>
    </row>
    <row r="401">
      <c r="A401" s="36">
        <v>40916.0</v>
      </c>
      <c r="B401" s="34">
        <v>0.680792953211</v>
      </c>
      <c r="C401" s="36">
        <v>42219.0</v>
      </c>
      <c r="D401" t="str">
        <f t="shared" si="6"/>
        <v>2012-01</v>
      </c>
      <c r="E401" s="44" t="str">
        <f t="shared" si="7"/>
        <v>2015-08</v>
      </c>
      <c r="F401" s="63"/>
      <c r="G401" s="36">
        <v>41294.0</v>
      </c>
      <c r="H401" s="34">
        <v>0.733439771042</v>
      </c>
      <c r="J401" t="str">
        <f t="shared" si="8"/>
        <v>2013-01</v>
      </c>
      <c r="K401" s="44"/>
      <c r="L401" s="46">
        <v>41668.0</v>
      </c>
      <c r="M401" s="4">
        <v>0.755133249232</v>
      </c>
      <c r="O401" t="str">
        <f t="shared" si="10"/>
        <v>2014-01</v>
      </c>
      <c r="Q401" s="36">
        <v>42515.0</v>
      </c>
      <c r="R401" s="4">
        <v>0.820916443328</v>
      </c>
      <c r="T401" t="str">
        <f t="shared" si="12"/>
        <v>2016-05</v>
      </c>
      <c r="AB401" s="36">
        <v>40905.0</v>
      </c>
      <c r="AC401" s="4">
        <v>0.656216621257</v>
      </c>
      <c r="AE401" t="str">
        <f t="shared" si="14"/>
        <v>2011-12</v>
      </c>
      <c r="AG401" s="36">
        <v>41842.0</v>
      </c>
      <c r="AH401" s="4">
        <v>0.588225980565</v>
      </c>
      <c r="AJ401" s="48" t="str">
        <f t="shared" si="16"/>
        <v>2014-07</v>
      </c>
      <c r="AL401" s="36">
        <v>41642.0</v>
      </c>
      <c r="AM401" s="4">
        <v>0.758073326131</v>
      </c>
      <c r="AO401" s="49" t="str">
        <f t="shared" si="18"/>
        <v>2014-01</v>
      </c>
    </row>
    <row r="402">
      <c r="A402" s="36">
        <v>40917.0</v>
      </c>
      <c r="B402" s="34">
        <v>0.656852164264</v>
      </c>
      <c r="C402" s="36">
        <v>42220.0</v>
      </c>
      <c r="D402" t="str">
        <f t="shared" si="6"/>
        <v>2012-01</v>
      </c>
      <c r="E402" s="44" t="str">
        <f t="shared" si="7"/>
        <v>2015-08</v>
      </c>
      <c r="F402" s="63"/>
      <c r="G402" s="36">
        <v>41301.0</v>
      </c>
      <c r="H402" s="34">
        <v>0.744304916002</v>
      </c>
      <c r="J402" t="str">
        <f t="shared" si="8"/>
        <v>2013-01</v>
      </c>
      <c r="K402" s="44"/>
      <c r="L402" s="46">
        <v>41675.0</v>
      </c>
      <c r="M402" s="4">
        <v>0.614252667168</v>
      </c>
      <c r="O402" t="str">
        <f t="shared" si="10"/>
        <v>2014-02</v>
      </c>
      <c r="Q402" s="36">
        <v>42516.0</v>
      </c>
      <c r="R402" s="4">
        <v>0.605829215101</v>
      </c>
      <c r="T402" t="str">
        <f t="shared" si="12"/>
        <v>2016-05</v>
      </c>
      <c r="AB402" s="36">
        <v>40911.0</v>
      </c>
      <c r="AC402" s="4">
        <v>0.777587082766</v>
      </c>
      <c r="AE402" t="str">
        <f t="shared" si="14"/>
        <v>2012-01</v>
      </c>
      <c r="AG402" s="36">
        <v>41848.0</v>
      </c>
      <c r="AH402" s="4">
        <v>0.795214363869</v>
      </c>
      <c r="AJ402" s="48" t="str">
        <f t="shared" si="16"/>
        <v>2014-07</v>
      </c>
      <c r="AL402" s="36">
        <v>41643.0</v>
      </c>
      <c r="AM402" s="4">
        <v>0.57343035507</v>
      </c>
      <c r="AO402" s="49" t="str">
        <f t="shared" si="18"/>
        <v>2014-01</v>
      </c>
    </row>
    <row r="403">
      <c r="A403" s="36">
        <v>40923.0</v>
      </c>
      <c r="B403" s="34">
        <v>0.709317748557</v>
      </c>
      <c r="C403" s="36">
        <v>42235.0</v>
      </c>
      <c r="D403" t="str">
        <f t="shared" si="6"/>
        <v>2012-01</v>
      </c>
      <c r="E403" s="44" t="str">
        <f t="shared" si="7"/>
        <v>2015-08</v>
      </c>
      <c r="F403" s="63"/>
      <c r="G403" s="36">
        <v>41302.0</v>
      </c>
      <c r="H403" s="34">
        <v>0.868674230471</v>
      </c>
      <c r="J403" t="str">
        <f t="shared" si="8"/>
        <v>2013-01</v>
      </c>
      <c r="K403" s="44"/>
      <c r="L403" s="46">
        <v>41676.0</v>
      </c>
      <c r="M403" s="4">
        <v>0.294383920979</v>
      </c>
      <c r="O403" t="str">
        <f t="shared" si="10"/>
        <v>2014-02</v>
      </c>
      <c r="Q403" s="36">
        <v>42523.0</v>
      </c>
      <c r="R403" s="4">
        <v>0.78674582605</v>
      </c>
      <c r="T403" t="str">
        <f t="shared" si="12"/>
        <v>2016-06</v>
      </c>
      <c r="AB403" s="36">
        <v>40912.0</v>
      </c>
      <c r="AC403" s="4">
        <v>0.814396350963</v>
      </c>
      <c r="AE403" t="str">
        <f t="shared" si="14"/>
        <v>2012-01</v>
      </c>
      <c r="AG403" s="36">
        <v>41849.0</v>
      </c>
      <c r="AH403" s="4">
        <v>0.739674114975</v>
      </c>
      <c r="AJ403" s="48" t="str">
        <f t="shared" si="16"/>
        <v>2014-07</v>
      </c>
      <c r="AL403" s="36">
        <v>41649.0</v>
      </c>
      <c r="AM403" s="4">
        <v>0.725884103341</v>
      </c>
      <c r="AO403" s="49" t="str">
        <f t="shared" si="18"/>
        <v>2014-01</v>
      </c>
    </row>
    <row r="404">
      <c r="A404" s="36">
        <v>40924.0</v>
      </c>
      <c r="B404" s="34">
        <v>0.672729598995</v>
      </c>
      <c r="C404" s="36">
        <v>42241.0</v>
      </c>
      <c r="D404" t="str">
        <f t="shared" si="6"/>
        <v>2012-01</v>
      </c>
      <c r="E404" s="44" t="str">
        <f t="shared" si="7"/>
        <v>2015-08</v>
      </c>
      <c r="F404" s="63"/>
      <c r="G404" s="36">
        <v>41308.0</v>
      </c>
      <c r="H404" s="34">
        <v>0.717810472128</v>
      </c>
      <c r="J404" t="str">
        <f t="shared" si="8"/>
        <v>2013-02</v>
      </c>
      <c r="K404" s="44"/>
      <c r="L404" s="46">
        <v>41682.0</v>
      </c>
      <c r="M404" s="4">
        <v>0.631787668222</v>
      </c>
      <c r="O404" t="str">
        <f t="shared" si="10"/>
        <v>2014-02</v>
      </c>
      <c r="Q404" s="36">
        <v>42524.0</v>
      </c>
      <c r="R404" s="4">
        <v>0.809005814677</v>
      </c>
      <c r="T404" t="str">
        <f t="shared" si="12"/>
        <v>2016-06</v>
      </c>
      <c r="AB404" s="36">
        <v>40918.0</v>
      </c>
      <c r="AC404" s="4">
        <v>0.751528139942</v>
      </c>
      <c r="AE404" t="str">
        <f t="shared" si="14"/>
        <v>2012-01</v>
      </c>
      <c r="AG404" s="36">
        <v>41855.0</v>
      </c>
      <c r="AH404" s="4">
        <v>0.82730579865</v>
      </c>
      <c r="AJ404" s="48" t="str">
        <f t="shared" si="16"/>
        <v>2014-08</v>
      </c>
      <c r="AL404" s="36">
        <v>41650.0</v>
      </c>
      <c r="AM404" s="4">
        <v>0.83741436103</v>
      </c>
      <c r="AO404" s="49" t="str">
        <f t="shared" si="18"/>
        <v>2014-01</v>
      </c>
    </row>
    <row r="405">
      <c r="A405" s="36">
        <v>40930.0</v>
      </c>
      <c r="B405" s="34">
        <v>0.629814547672</v>
      </c>
      <c r="C405" s="36">
        <v>42249.0</v>
      </c>
      <c r="D405" t="str">
        <f t="shared" si="6"/>
        <v>2012-01</v>
      </c>
      <c r="E405" s="44" t="str">
        <f t="shared" si="7"/>
        <v>2015-09</v>
      </c>
      <c r="F405" s="63"/>
      <c r="G405" s="36">
        <v>41309.0</v>
      </c>
      <c r="H405" s="34">
        <v>0.757103489787</v>
      </c>
      <c r="J405" t="str">
        <f t="shared" si="8"/>
        <v>2013-02</v>
      </c>
      <c r="K405" s="44"/>
      <c r="L405" s="46">
        <v>41683.0</v>
      </c>
      <c r="M405" s="4">
        <v>0.686030910978</v>
      </c>
      <c r="O405" t="str">
        <f t="shared" si="10"/>
        <v>2014-02</v>
      </c>
      <c r="Q405" s="36">
        <v>42530.0</v>
      </c>
      <c r="R405" s="4">
        <v>0.707805071481</v>
      </c>
      <c r="T405" t="str">
        <f t="shared" si="12"/>
        <v>2016-06</v>
      </c>
      <c r="AB405" s="36">
        <v>40919.0</v>
      </c>
      <c r="AC405" s="4">
        <v>0.738484855091</v>
      </c>
      <c r="AE405" t="str">
        <f t="shared" si="14"/>
        <v>2012-01</v>
      </c>
      <c r="AG405" s="36">
        <v>41856.0</v>
      </c>
      <c r="AH405" s="4">
        <v>0.658662499205</v>
      </c>
      <c r="AJ405" s="48" t="str">
        <f t="shared" si="16"/>
        <v>2014-08</v>
      </c>
      <c r="AL405" s="36">
        <v>41656.0</v>
      </c>
      <c r="AM405" s="4">
        <v>0.75619216574</v>
      </c>
      <c r="AO405" s="49" t="str">
        <f t="shared" si="18"/>
        <v>2014-01</v>
      </c>
    </row>
    <row r="406">
      <c r="A406" s="36">
        <v>40937.0</v>
      </c>
      <c r="B406" s="34">
        <v>0.714078704521</v>
      </c>
      <c r="C406" s="36">
        <v>42262.0</v>
      </c>
      <c r="D406" t="str">
        <f t="shared" si="6"/>
        <v>2012-01</v>
      </c>
      <c r="E406" s="44" t="str">
        <f t="shared" si="7"/>
        <v>2015-09</v>
      </c>
      <c r="F406" s="63"/>
      <c r="G406" s="36">
        <v>41315.0</v>
      </c>
      <c r="H406" s="34">
        <v>0.749629335359</v>
      </c>
      <c r="J406" t="str">
        <f t="shared" si="8"/>
        <v>2013-02</v>
      </c>
      <c r="K406" s="44"/>
      <c r="L406" s="46">
        <v>41689.0</v>
      </c>
      <c r="M406" s="4">
        <v>0.717896943238</v>
      </c>
      <c r="O406" t="str">
        <f t="shared" si="10"/>
        <v>2014-02</v>
      </c>
      <c r="Q406" s="36">
        <v>42531.0</v>
      </c>
      <c r="R406" s="4">
        <v>0.774259620174</v>
      </c>
      <c r="T406" t="str">
        <f t="shared" si="12"/>
        <v>2016-06</v>
      </c>
      <c r="AB406" s="36">
        <v>40925.0</v>
      </c>
      <c r="AC406" s="4">
        <v>0.722450990529</v>
      </c>
      <c r="AE406" t="str">
        <f t="shared" si="14"/>
        <v>2012-01</v>
      </c>
      <c r="AG406" s="36">
        <v>41862.0</v>
      </c>
      <c r="AH406" s="4">
        <v>0.702831184098</v>
      </c>
      <c r="AJ406" s="48" t="str">
        <f t="shared" si="16"/>
        <v>2014-08</v>
      </c>
      <c r="AL406" s="36">
        <v>41663.0</v>
      </c>
      <c r="AM406" s="4">
        <v>0.69737085043</v>
      </c>
      <c r="AO406" s="49" t="str">
        <f t="shared" si="18"/>
        <v>2014-01</v>
      </c>
    </row>
    <row r="407">
      <c r="A407" s="36">
        <v>40938.0</v>
      </c>
      <c r="B407" s="34">
        <v>0.669785860459</v>
      </c>
      <c r="C407" s="36">
        <v>42253.0</v>
      </c>
      <c r="D407" t="str">
        <f t="shared" si="6"/>
        <v>2012-01</v>
      </c>
      <c r="E407" s="44" t="str">
        <f t="shared" si="7"/>
        <v>2015-09</v>
      </c>
      <c r="F407" s="63"/>
      <c r="G407" s="36">
        <v>41316.0</v>
      </c>
      <c r="H407" s="34">
        <v>0.715631865762</v>
      </c>
      <c r="J407" t="str">
        <f t="shared" si="8"/>
        <v>2013-02</v>
      </c>
      <c r="K407" s="44"/>
      <c r="L407" s="46">
        <v>41690.0</v>
      </c>
      <c r="M407" s="4">
        <v>0.728246617906</v>
      </c>
      <c r="O407" t="str">
        <f t="shared" si="10"/>
        <v>2014-02</v>
      </c>
      <c r="Q407" s="36">
        <v>42537.0</v>
      </c>
      <c r="R407" s="4">
        <v>0.766949477219</v>
      </c>
      <c r="T407" t="str">
        <f t="shared" si="12"/>
        <v>2016-06</v>
      </c>
      <c r="AB407" s="36">
        <v>40926.0</v>
      </c>
      <c r="AC407" s="4">
        <v>0.789548843503</v>
      </c>
      <c r="AE407" t="str">
        <f t="shared" si="14"/>
        <v>2012-01</v>
      </c>
      <c r="AG407" s="36">
        <v>41863.0</v>
      </c>
      <c r="AH407" s="4">
        <v>0.69966618652</v>
      </c>
      <c r="AJ407" s="48" t="str">
        <f t="shared" si="16"/>
        <v>2014-08</v>
      </c>
      <c r="AL407" s="36">
        <v>41664.0</v>
      </c>
      <c r="AM407" s="4">
        <v>0.337841201128</v>
      </c>
      <c r="AO407" s="49" t="str">
        <f t="shared" si="18"/>
        <v>2014-01</v>
      </c>
    </row>
    <row r="408">
      <c r="A408" s="36">
        <v>40944.0</v>
      </c>
      <c r="B408" s="34">
        <v>0.697212808919</v>
      </c>
      <c r="C408" s="36">
        <v>42254.0</v>
      </c>
      <c r="D408" t="str">
        <f t="shared" si="6"/>
        <v>2012-02</v>
      </c>
      <c r="E408" s="44" t="str">
        <f t="shared" si="7"/>
        <v>2015-09</v>
      </c>
      <c r="F408" s="63"/>
      <c r="G408" s="36">
        <v>41322.0</v>
      </c>
      <c r="H408" s="34">
        <v>0.676754803816</v>
      </c>
      <c r="J408" t="str">
        <f t="shared" si="8"/>
        <v>2013-02</v>
      </c>
      <c r="K408" s="44"/>
      <c r="L408" s="46">
        <v>41696.0</v>
      </c>
      <c r="M408" s="4">
        <v>0.640631937436</v>
      </c>
      <c r="O408" t="str">
        <f t="shared" si="10"/>
        <v>2014-02</v>
      </c>
      <c r="Q408" s="36">
        <v>42538.0</v>
      </c>
      <c r="R408" s="4">
        <v>0.727668032212</v>
      </c>
      <c r="T408" t="str">
        <f t="shared" si="12"/>
        <v>2016-06</v>
      </c>
      <c r="AB408" s="36">
        <v>40932.0</v>
      </c>
      <c r="AC408" s="4">
        <v>0.702703158637</v>
      </c>
      <c r="AE408" t="str">
        <f t="shared" si="14"/>
        <v>2012-01</v>
      </c>
      <c r="AG408" s="36">
        <v>41869.0</v>
      </c>
      <c r="AH408" s="4">
        <v>0.717586528565</v>
      </c>
      <c r="AJ408" s="48" t="str">
        <f t="shared" si="16"/>
        <v>2014-08</v>
      </c>
      <c r="AL408" s="36">
        <v>41670.0</v>
      </c>
      <c r="AM408" s="4">
        <v>0.762948750627</v>
      </c>
      <c r="AO408" s="49" t="str">
        <f t="shared" si="18"/>
        <v>2014-01</v>
      </c>
    </row>
    <row r="409">
      <c r="A409" s="36">
        <v>40945.0</v>
      </c>
      <c r="B409" s="34">
        <v>0.5273112785</v>
      </c>
      <c r="C409" s="36">
        <v>42255.0</v>
      </c>
      <c r="D409" t="str">
        <f t="shared" si="6"/>
        <v>2012-02</v>
      </c>
      <c r="E409" s="44" t="str">
        <f t="shared" si="7"/>
        <v>2015-09</v>
      </c>
      <c r="F409" s="63"/>
      <c r="G409" s="36">
        <v>41323.0</v>
      </c>
      <c r="H409" s="34">
        <v>0.721393714084</v>
      </c>
      <c r="J409" t="str">
        <f t="shared" si="8"/>
        <v>2013-02</v>
      </c>
      <c r="K409" s="44"/>
      <c r="L409" s="46">
        <v>41697.0</v>
      </c>
      <c r="M409" s="4">
        <v>0.290823098405</v>
      </c>
      <c r="O409" t="str">
        <f t="shared" si="10"/>
        <v>2014-02</v>
      </c>
      <c r="Q409" s="36">
        <v>42543.0</v>
      </c>
      <c r="R409" s="4">
        <v>0.734860373531</v>
      </c>
      <c r="T409" t="str">
        <f t="shared" si="12"/>
        <v>2016-06</v>
      </c>
      <c r="AB409" s="36">
        <v>40933.0</v>
      </c>
      <c r="AC409" s="4">
        <v>0.76294746038</v>
      </c>
      <c r="AE409" t="str">
        <f t="shared" si="14"/>
        <v>2012-01</v>
      </c>
      <c r="AG409" s="36">
        <v>41870.0</v>
      </c>
      <c r="AH409" s="4">
        <v>0.618878949286</v>
      </c>
      <c r="AJ409" s="48" t="str">
        <f t="shared" si="16"/>
        <v>2014-08</v>
      </c>
      <c r="AL409" s="36">
        <v>41677.0</v>
      </c>
      <c r="AM409" s="4">
        <v>0.734834924232</v>
      </c>
      <c r="AO409" s="49" t="str">
        <f t="shared" si="18"/>
        <v>2014-02</v>
      </c>
    </row>
    <row r="410">
      <c r="A410" s="36">
        <v>40951.0</v>
      </c>
      <c r="B410" s="34">
        <v>0.595127444454</v>
      </c>
      <c r="C410" s="36">
        <v>42255.0</v>
      </c>
      <c r="D410" t="str">
        <f t="shared" si="6"/>
        <v>2012-02</v>
      </c>
      <c r="E410" s="44" t="str">
        <f t="shared" si="7"/>
        <v>2015-09</v>
      </c>
      <c r="F410" s="63"/>
      <c r="G410" s="36">
        <v>41329.0</v>
      </c>
      <c r="H410" s="34">
        <v>0.777392309446</v>
      </c>
      <c r="J410" t="str">
        <f t="shared" si="8"/>
        <v>2013-02</v>
      </c>
      <c r="K410" s="44"/>
      <c r="L410" s="46">
        <v>41703.0</v>
      </c>
      <c r="M410" s="4">
        <v>0.687990819862</v>
      </c>
      <c r="O410" t="str">
        <f t="shared" si="10"/>
        <v>2014-03</v>
      </c>
      <c r="Q410" s="36">
        <v>42544.0</v>
      </c>
      <c r="R410" s="4">
        <v>0.794429831627</v>
      </c>
      <c r="T410" t="str">
        <f t="shared" si="12"/>
        <v>2016-06</v>
      </c>
      <c r="AB410" s="36">
        <v>40939.0</v>
      </c>
      <c r="AC410" s="4">
        <v>0.700213409026</v>
      </c>
      <c r="AE410" t="str">
        <f t="shared" si="14"/>
        <v>2012-01</v>
      </c>
      <c r="AG410" s="36">
        <v>41876.0</v>
      </c>
      <c r="AH410" s="4">
        <v>0.685896039181</v>
      </c>
      <c r="AJ410" s="48" t="str">
        <f t="shared" si="16"/>
        <v>2014-08</v>
      </c>
      <c r="AL410" s="36">
        <v>41678.0</v>
      </c>
      <c r="AM410" s="4">
        <v>0.887036179127</v>
      </c>
      <c r="AO410" s="49" t="str">
        <f t="shared" si="18"/>
        <v>2014-02</v>
      </c>
    </row>
    <row r="411">
      <c r="A411" s="36">
        <v>40952.0</v>
      </c>
      <c r="B411" s="34">
        <v>0.695682661531</v>
      </c>
      <c r="C411" s="36">
        <v>42255.0</v>
      </c>
      <c r="D411" t="str">
        <f t="shared" si="6"/>
        <v>2012-02</v>
      </c>
      <c r="E411" s="44" t="str">
        <f t="shared" si="7"/>
        <v>2015-09</v>
      </c>
      <c r="F411" s="63"/>
      <c r="G411" s="36">
        <v>41330.0</v>
      </c>
      <c r="H411" s="34">
        <v>0.77053849526</v>
      </c>
      <c r="J411" t="str">
        <f t="shared" si="8"/>
        <v>2013-02</v>
      </c>
      <c r="K411" s="44"/>
      <c r="L411" s="46">
        <v>41704.0</v>
      </c>
      <c r="M411" s="4">
        <v>0.663663638213</v>
      </c>
      <c r="O411" t="str">
        <f t="shared" si="10"/>
        <v>2014-03</v>
      </c>
      <c r="Q411" s="36">
        <v>42545.0</v>
      </c>
      <c r="R411" s="4">
        <v>0.692254620278</v>
      </c>
      <c r="T411" t="str">
        <f t="shared" si="12"/>
        <v>2016-06</v>
      </c>
      <c r="AB411" s="36">
        <v>40940.0</v>
      </c>
      <c r="AC411" s="4">
        <v>0.84167585273</v>
      </c>
      <c r="AE411" t="str">
        <f t="shared" si="14"/>
        <v>2012-02</v>
      </c>
      <c r="AG411" s="36">
        <v>41877.0</v>
      </c>
      <c r="AH411" s="4">
        <v>0.591698610952</v>
      </c>
      <c r="AJ411" s="48" t="str">
        <f t="shared" si="16"/>
        <v>2014-08</v>
      </c>
      <c r="AL411" s="36">
        <v>41684.0</v>
      </c>
      <c r="AM411" s="4">
        <v>0.722954416854</v>
      </c>
      <c r="AO411" s="49" t="str">
        <f t="shared" si="18"/>
        <v>2014-02</v>
      </c>
    </row>
    <row r="412">
      <c r="A412" s="36">
        <v>40958.0</v>
      </c>
      <c r="B412" s="34">
        <v>0.714848414635</v>
      </c>
      <c r="C412" s="36">
        <v>42255.0</v>
      </c>
      <c r="D412" t="str">
        <f t="shared" si="6"/>
        <v>2012-02</v>
      </c>
      <c r="E412" s="44" t="str">
        <f t="shared" si="7"/>
        <v>2015-09</v>
      </c>
      <c r="F412" s="63"/>
      <c r="G412" s="36">
        <v>41336.0</v>
      </c>
      <c r="H412" s="34">
        <v>0.673712222714</v>
      </c>
      <c r="J412" t="str">
        <f t="shared" si="8"/>
        <v>2013-03</v>
      </c>
      <c r="K412" s="44"/>
      <c r="L412" s="46">
        <v>41710.0</v>
      </c>
      <c r="M412" s="4">
        <v>0.601018334839</v>
      </c>
      <c r="O412" t="str">
        <f t="shared" si="10"/>
        <v>2014-03</v>
      </c>
      <c r="Q412" s="36">
        <v>42551.0</v>
      </c>
      <c r="R412" s="4">
        <v>0.773699422105</v>
      </c>
      <c r="T412" t="str">
        <f t="shared" si="12"/>
        <v>2016-06</v>
      </c>
      <c r="AB412" s="36">
        <v>40946.0</v>
      </c>
      <c r="AC412" s="4">
        <v>0.752965219458</v>
      </c>
      <c r="AE412" t="str">
        <f t="shared" si="14"/>
        <v>2012-02</v>
      </c>
      <c r="AG412" s="36">
        <v>41883.0</v>
      </c>
      <c r="AH412" s="4">
        <v>0.739437550012</v>
      </c>
      <c r="AJ412" s="48" t="str">
        <f t="shared" si="16"/>
        <v>2014-09</v>
      </c>
      <c r="AL412" s="36">
        <v>41691.0</v>
      </c>
      <c r="AM412" s="4">
        <v>0.672342938826</v>
      </c>
      <c r="AO412" s="49" t="str">
        <f t="shared" si="18"/>
        <v>2014-02</v>
      </c>
    </row>
    <row r="413">
      <c r="A413" s="36">
        <v>40959.0</v>
      </c>
      <c r="B413" s="34">
        <v>0.751053859769</v>
      </c>
      <c r="C413" s="36">
        <v>42264.0</v>
      </c>
      <c r="D413" t="str">
        <f t="shared" si="6"/>
        <v>2012-02</v>
      </c>
      <c r="E413" s="44" t="str">
        <f t="shared" si="7"/>
        <v>2015-09</v>
      </c>
      <c r="F413" s="63"/>
      <c r="G413" s="36">
        <v>41337.0</v>
      </c>
      <c r="H413" s="34">
        <v>0.81281779325</v>
      </c>
      <c r="J413" t="str">
        <f t="shared" si="8"/>
        <v>2013-03</v>
      </c>
      <c r="K413" s="44"/>
      <c r="L413" s="46">
        <v>41711.0</v>
      </c>
      <c r="M413" s="4">
        <v>0.853801061461</v>
      </c>
      <c r="O413" t="str">
        <f t="shared" si="10"/>
        <v>2014-03</v>
      </c>
      <c r="Q413" s="36">
        <v>42552.0</v>
      </c>
      <c r="R413" s="4">
        <v>0.725800953834</v>
      </c>
      <c r="T413" t="str">
        <f t="shared" si="12"/>
        <v>2016-07</v>
      </c>
      <c r="AB413" s="36">
        <v>40947.0</v>
      </c>
      <c r="AC413" s="4">
        <v>0.335344356989</v>
      </c>
      <c r="AE413" t="str">
        <f t="shared" si="14"/>
        <v>2012-02</v>
      </c>
      <c r="AG413" s="36">
        <v>41884.0</v>
      </c>
      <c r="AH413" s="4">
        <v>0.757415363748</v>
      </c>
      <c r="AJ413" s="48" t="str">
        <f t="shared" si="16"/>
        <v>2014-09</v>
      </c>
      <c r="AL413" s="36">
        <v>41692.0</v>
      </c>
      <c r="AM413" s="4">
        <v>0.867764297185</v>
      </c>
      <c r="AO413" s="49" t="str">
        <f t="shared" si="18"/>
        <v>2014-02</v>
      </c>
    </row>
    <row r="414">
      <c r="A414" s="36">
        <v>40965.0</v>
      </c>
      <c r="B414" s="34">
        <v>0.704157612831</v>
      </c>
      <c r="C414" s="36">
        <v>42270.0</v>
      </c>
      <c r="D414" t="str">
        <f t="shared" si="6"/>
        <v>2012-02</v>
      </c>
      <c r="E414" s="44" t="str">
        <f t="shared" si="7"/>
        <v>2015-09</v>
      </c>
      <c r="F414" s="63"/>
      <c r="G414" s="36">
        <v>41343.0</v>
      </c>
      <c r="H414" s="34">
        <v>0.703581007301</v>
      </c>
      <c r="J414" t="str">
        <f t="shared" si="8"/>
        <v>2013-03</v>
      </c>
      <c r="K414" s="44"/>
      <c r="L414" s="46">
        <v>41717.0</v>
      </c>
      <c r="M414" s="4">
        <v>0.697354637444</v>
      </c>
      <c r="O414" t="str">
        <f t="shared" si="10"/>
        <v>2014-03</v>
      </c>
      <c r="Q414" s="36">
        <v>42558.0</v>
      </c>
      <c r="R414" s="4">
        <v>0.726609391624</v>
      </c>
      <c r="T414" t="str">
        <f t="shared" si="12"/>
        <v>2016-07</v>
      </c>
      <c r="AB414" s="36">
        <v>40953.0</v>
      </c>
      <c r="AC414" s="4">
        <v>0.704440928829</v>
      </c>
      <c r="AE414" t="str">
        <f t="shared" si="14"/>
        <v>2012-02</v>
      </c>
      <c r="AG414" s="36">
        <v>41890.0</v>
      </c>
      <c r="AH414" s="4">
        <v>0.677151359373</v>
      </c>
      <c r="AJ414" s="48" t="str">
        <f t="shared" si="16"/>
        <v>2014-09</v>
      </c>
      <c r="AL414" s="36">
        <v>41698.0</v>
      </c>
      <c r="AM414" s="4">
        <v>0.661729250108</v>
      </c>
      <c r="AO414" s="49" t="str">
        <f t="shared" si="18"/>
        <v>2014-02</v>
      </c>
    </row>
    <row r="415">
      <c r="A415" s="36">
        <v>40966.0</v>
      </c>
      <c r="B415" s="34">
        <v>0.806297139669</v>
      </c>
      <c r="C415" s="36">
        <v>42282.0</v>
      </c>
      <c r="D415" t="str">
        <f t="shared" si="6"/>
        <v>2012-02</v>
      </c>
      <c r="E415" s="44" t="str">
        <f t="shared" si="7"/>
        <v>2015-10</v>
      </c>
      <c r="F415" s="63"/>
      <c r="G415" s="36">
        <v>41350.0</v>
      </c>
      <c r="H415" s="34">
        <v>0.715432804837</v>
      </c>
      <c r="J415" t="str">
        <f t="shared" si="8"/>
        <v>2013-03</v>
      </c>
      <c r="K415" s="44"/>
      <c r="L415" s="46">
        <v>41718.0</v>
      </c>
      <c r="M415" s="4">
        <v>0.846444408696</v>
      </c>
      <c r="O415" t="str">
        <f t="shared" si="10"/>
        <v>2014-03</v>
      </c>
      <c r="Q415" s="36">
        <v>42559.0</v>
      </c>
      <c r="R415" s="4">
        <v>0.743264446167</v>
      </c>
      <c r="T415" t="str">
        <f t="shared" si="12"/>
        <v>2016-07</v>
      </c>
      <c r="AB415" s="36">
        <v>40954.0</v>
      </c>
      <c r="AC415" s="4">
        <v>0.753386077486</v>
      </c>
      <c r="AE415" t="str">
        <f t="shared" si="14"/>
        <v>2012-02</v>
      </c>
      <c r="AG415" s="36">
        <v>41891.0</v>
      </c>
      <c r="AH415" s="4">
        <v>0.642629119285</v>
      </c>
      <c r="AJ415" s="48" t="str">
        <f t="shared" si="16"/>
        <v>2014-09</v>
      </c>
      <c r="AL415" s="36">
        <v>41705.0</v>
      </c>
      <c r="AM415" s="4">
        <v>0.748909840661</v>
      </c>
      <c r="AO415" s="49" t="str">
        <f t="shared" si="18"/>
        <v>2014-03</v>
      </c>
    </row>
    <row r="416">
      <c r="A416" s="36">
        <v>40972.0</v>
      </c>
      <c r="B416" s="34">
        <v>0.756395030032</v>
      </c>
      <c r="C416" s="36">
        <v>42289.0</v>
      </c>
      <c r="D416" t="str">
        <f t="shared" si="6"/>
        <v>2012-03</v>
      </c>
      <c r="E416" s="44" t="str">
        <f t="shared" si="7"/>
        <v>2015-10</v>
      </c>
      <c r="F416" s="63"/>
      <c r="G416" s="36">
        <v>41351.0</v>
      </c>
      <c r="H416" s="34">
        <v>0.78953943696</v>
      </c>
      <c r="J416" t="str">
        <f t="shared" si="8"/>
        <v>2013-03</v>
      </c>
      <c r="K416" s="44"/>
      <c r="L416" s="46">
        <v>41724.0</v>
      </c>
      <c r="M416" s="4">
        <v>0.736116088686</v>
      </c>
      <c r="O416" t="str">
        <f t="shared" si="10"/>
        <v>2014-03</v>
      </c>
      <c r="Q416" s="36">
        <v>42565.0</v>
      </c>
      <c r="R416" s="4">
        <v>0.72243873424</v>
      </c>
      <c r="T416" t="str">
        <f t="shared" si="12"/>
        <v>2016-07</v>
      </c>
      <c r="AB416" s="36">
        <v>40960.0</v>
      </c>
      <c r="AC416" s="4">
        <v>0.744902311593</v>
      </c>
      <c r="AE416" t="str">
        <f t="shared" si="14"/>
        <v>2012-02</v>
      </c>
      <c r="AG416" s="36">
        <v>41897.0</v>
      </c>
      <c r="AH416" s="4">
        <v>0.590847812903</v>
      </c>
      <c r="AJ416" s="48" t="str">
        <f t="shared" si="16"/>
        <v>2014-09</v>
      </c>
      <c r="AL416" s="36">
        <v>41706.0</v>
      </c>
      <c r="AM416" s="4">
        <v>0.420333823606</v>
      </c>
      <c r="AO416" s="49" t="str">
        <f t="shared" si="18"/>
        <v>2014-03</v>
      </c>
    </row>
    <row r="417">
      <c r="A417" s="36">
        <v>40973.0</v>
      </c>
      <c r="B417" s="34">
        <v>0.737344991485</v>
      </c>
      <c r="C417" s="36">
        <v>42290.0</v>
      </c>
      <c r="D417" t="str">
        <f t="shared" si="6"/>
        <v>2012-03</v>
      </c>
      <c r="E417" s="44" t="str">
        <f t="shared" si="7"/>
        <v>2015-10</v>
      </c>
      <c r="F417" s="63"/>
      <c r="G417" s="36">
        <v>41357.0</v>
      </c>
      <c r="H417" s="34">
        <v>0.713086875817</v>
      </c>
      <c r="J417" t="str">
        <f t="shared" si="8"/>
        <v>2013-03</v>
      </c>
      <c r="K417" s="44"/>
      <c r="L417" s="46">
        <v>41725.0</v>
      </c>
      <c r="M417" s="4">
        <v>0.817359433966</v>
      </c>
      <c r="O417" t="str">
        <f t="shared" si="10"/>
        <v>2014-03</v>
      </c>
      <c r="Q417" s="36">
        <v>42566.0</v>
      </c>
      <c r="R417" s="4">
        <v>0.753990979799</v>
      </c>
      <c r="T417" t="str">
        <f t="shared" si="12"/>
        <v>2016-07</v>
      </c>
      <c r="AB417" s="36">
        <v>40961.0</v>
      </c>
      <c r="AC417" s="4">
        <v>0.701365340584</v>
      </c>
      <c r="AE417" t="str">
        <f t="shared" si="14"/>
        <v>2012-02</v>
      </c>
      <c r="AG417" s="36">
        <v>41898.0</v>
      </c>
      <c r="AH417" s="4">
        <v>0.645345052038</v>
      </c>
      <c r="AJ417" s="48" t="str">
        <f t="shared" si="16"/>
        <v>2014-09</v>
      </c>
      <c r="AL417" s="36">
        <v>41712.0</v>
      </c>
      <c r="AM417" s="4">
        <v>0.696951239934</v>
      </c>
      <c r="AO417" s="49" t="str">
        <f t="shared" si="18"/>
        <v>2014-03</v>
      </c>
    </row>
    <row r="418">
      <c r="A418" s="36">
        <v>40979.0</v>
      </c>
      <c r="B418" s="34">
        <v>0.72536718698</v>
      </c>
      <c r="C418" s="36">
        <v>42306.0</v>
      </c>
      <c r="D418" t="str">
        <f t="shared" si="6"/>
        <v>2012-03</v>
      </c>
      <c r="E418" s="44" t="str">
        <f t="shared" si="7"/>
        <v>2015-10</v>
      </c>
      <c r="F418" s="63"/>
      <c r="G418" s="36">
        <v>41358.0</v>
      </c>
      <c r="H418" s="34">
        <v>0.609131082522</v>
      </c>
      <c r="J418" t="str">
        <f t="shared" si="8"/>
        <v>2013-03</v>
      </c>
      <c r="K418" s="44"/>
      <c r="L418" s="46">
        <v>41731.0</v>
      </c>
      <c r="M418" s="4">
        <v>0.651538272624</v>
      </c>
      <c r="O418" t="str">
        <f t="shared" si="10"/>
        <v>2014-04</v>
      </c>
      <c r="Q418" s="36">
        <v>42572.0</v>
      </c>
      <c r="R418" s="4">
        <v>0.688659524546</v>
      </c>
      <c r="T418" t="str">
        <f t="shared" si="12"/>
        <v>2016-07</v>
      </c>
      <c r="AB418" s="36">
        <v>40967.0</v>
      </c>
      <c r="AC418" s="4">
        <v>0.765509907407</v>
      </c>
      <c r="AE418" t="str">
        <f t="shared" si="14"/>
        <v>2012-02</v>
      </c>
      <c r="AG418" s="36">
        <v>41904.0</v>
      </c>
      <c r="AH418" s="4">
        <v>0.683597922545</v>
      </c>
      <c r="AJ418" s="48" t="str">
        <f t="shared" si="16"/>
        <v>2014-09</v>
      </c>
      <c r="AL418" s="36">
        <v>41713.0</v>
      </c>
      <c r="AM418" s="4">
        <v>0.557551062967</v>
      </c>
      <c r="AO418" s="49" t="str">
        <f t="shared" si="18"/>
        <v>2014-03</v>
      </c>
    </row>
    <row r="419">
      <c r="A419" s="36">
        <v>40980.0</v>
      </c>
      <c r="B419" s="34">
        <v>0.678164210268</v>
      </c>
      <c r="C419" s="36">
        <v>42310.0</v>
      </c>
      <c r="D419" t="str">
        <f t="shared" si="6"/>
        <v>2012-03</v>
      </c>
      <c r="E419" s="44" t="str">
        <f t="shared" si="7"/>
        <v>2015-11</v>
      </c>
      <c r="F419" s="63"/>
      <c r="G419" s="36">
        <v>41364.0</v>
      </c>
      <c r="H419" s="34">
        <v>0.658252031995</v>
      </c>
      <c r="J419" t="str">
        <f t="shared" si="8"/>
        <v>2013-03</v>
      </c>
      <c r="K419" s="44"/>
      <c r="L419" s="46">
        <v>41732.0</v>
      </c>
      <c r="M419" s="4">
        <v>0.337007429271</v>
      </c>
      <c r="O419" t="str">
        <f t="shared" si="10"/>
        <v>2014-04</v>
      </c>
      <c r="Q419" s="36">
        <v>42573.0</v>
      </c>
      <c r="R419" s="4">
        <v>0.70393390133</v>
      </c>
      <c r="T419" t="str">
        <f t="shared" si="12"/>
        <v>2016-07</v>
      </c>
      <c r="AB419" s="36">
        <v>40968.0</v>
      </c>
      <c r="AC419" s="4">
        <v>0.77356840297</v>
      </c>
      <c r="AE419" t="str">
        <f t="shared" si="14"/>
        <v>2012-02</v>
      </c>
      <c r="AG419" s="36">
        <v>41905.0</v>
      </c>
      <c r="AH419" s="4">
        <v>0.72314009776</v>
      </c>
      <c r="AJ419" s="48" t="str">
        <f t="shared" si="16"/>
        <v>2014-09</v>
      </c>
      <c r="AL419" s="36">
        <v>41719.0</v>
      </c>
      <c r="AM419" s="4">
        <v>0.772534290142</v>
      </c>
      <c r="AO419" s="49" t="str">
        <f t="shared" si="18"/>
        <v>2014-03</v>
      </c>
    </row>
    <row r="420">
      <c r="A420" s="36">
        <v>40986.0</v>
      </c>
      <c r="B420" s="34">
        <v>0.689963415949</v>
      </c>
      <c r="C420" s="36">
        <v>42311.0</v>
      </c>
      <c r="D420" t="str">
        <f t="shared" si="6"/>
        <v>2012-03</v>
      </c>
      <c r="E420" s="44" t="str">
        <f t="shared" si="7"/>
        <v>2015-11</v>
      </c>
      <c r="F420" s="63"/>
      <c r="G420" s="36">
        <v>41365.0</v>
      </c>
      <c r="H420" s="34">
        <v>0.603307829846</v>
      </c>
      <c r="J420" t="str">
        <f t="shared" si="8"/>
        <v>2013-04</v>
      </c>
      <c r="K420" s="44"/>
      <c r="L420" s="46">
        <v>41738.0</v>
      </c>
      <c r="M420" s="4">
        <v>0.660382692399</v>
      </c>
      <c r="O420" t="str">
        <f t="shared" si="10"/>
        <v>2014-04</v>
      </c>
      <c r="Q420" s="36">
        <v>42579.0</v>
      </c>
      <c r="R420" s="4">
        <v>0.755635834555</v>
      </c>
      <c r="T420" t="str">
        <f t="shared" si="12"/>
        <v>2016-07</v>
      </c>
      <c r="AB420" s="36">
        <v>40974.0</v>
      </c>
      <c r="AC420" s="4">
        <v>0.741946564221</v>
      </c>
      <c r="AE420" t="str">
        <f t="shared" si="14"/>
        <v>2012-03</v>
      </c>
      <c r="AG420" s="36">
        <v>41911.0</v>
      </c>
      <c r="AH420" s="4">
        <v>0.610779632394</v>
      </c>
      <c r="AJ420" s="48" t="str">
        <f t="shared" si="16"/>
        <v>2014-09</v>
      </c>
      <c r="AL420" s="36">
        <v>41726.0</v>
      </c>
      <c r="AM420" s="4">
        <v>0.664496132112</v>
      </c>
      <c r="AO420" s="49" t="str">
        <f t="shared" si="18"/>
        <v>2014-03</v>
      </c>
    </row>
    <row r="421">
      <c r="A421" s="36">
        <v>40987.0</v>
      </c>
      <c r="B421" s="34">
        <v>0.631867546856</v>
      </c>
      <c r="C421" s="36">
        <v>42342.0</v>
      </c>
      <c r="D421" t="str">
        <f t="shared" si="6"/>
        <v>2012-03</v>
      </c>
      <c r="E421" s="44" t="str">
        <f t="shared" si="7"/>
        <v>2015-12</v>
      </c>
      <c r="F421" s="63"/>
      <c r="G421" s="36">
        <v>41371.0</v>
      </c>
      <c r="H421" s="34">
        <v>0.736210366998</v>
      </c>
      <c r="J421" t="str">
        <f t="shared" si="8"/>
        <v>2013-04</v>
      </c>
      <c r="K421" s="44"/>
      <c r="L421" s="46">
        <v>41739.0</v>
      </c>
      <c r="M421" s="4">
        <v>0.714014737263</v>
      </c>
      <c r="O421" t="str">
        <f t="shared" si="10"/>
        <v>2014-04</v>
      </c>
      <c r="Q421" s="36">
        <v>42580.0</v>
      </c>
      <c r="R421" s="4">
        <v>0.697995195877</v>
      </c>
      <c r="T421" t="str">
        <f t="shared" si="12"/>
        <v>2016-07</v>
      </c>
      <c r="AB421" s="36">
        <v>40975.0</v>
      </c>
      <c r="AC421" s="4">
        <v>0.652149461502</v>
      </c>
      <c r="AE421" t="str">
        <f t="shared" si="14"/>
        <v>2012-03</v>
      </c>
      <c r="AG421" s="36">
        <v>41912.0</v>
      </c>
      <c r="AH421" s="4">
        <v>0.612478360929</v>
      </c>
      <c r="AJ421" s="48" t="str">
        <f t="shared" si="16"/>
        <v>2014-09</v>
      </c>
      <c r="AL421" s="36">
        <v>41733.0</v>
      </c>
      <c r="AM421" s="4">
        <v>0.770154978515</v>
      </c>
      <c r="AO421" s="49" t="str">
        <f t="shared" si="18"/>
        <v>2014-04</v>
      </c>
    </row>
    <row r="422">
      <c r="A422" s="36">
        <v>40993.0</v>
      </c>
      <c r="B422" s="34">
        <v>0.697591073669</v>
      </c>
      <c r="C422" s="36">
        <v>42359.0</v>
      </c>
      <c r="D422" t="str">
        <f t="shared" si="6"/>
        <v>2012-03</v>
      </c>
      <c r="E422" s="44" t="str">
        <f t="shared" si="7"/>
        <v>2015-12</v>
      </c>
      <c r="F422" s="63"/>
      <c r="G422" s="36">
        <v>41372.0</v>
      </c>
      <c r="H422" s="34">
        <v>0.663851442689</v>
      </c>
      <c r="J422" t="str">
        <f t="shared" si="8"/>
        <v>2013-04</v>
      </c>
      <c r="K422" s="44"/>
      <c r="L422" s="46">
        <v>41745.0</v>
      </c>
      <c r="M422" s="4">
        <v>0.763004034494</v>
      </c>
      <c r="O422" t="str">
        <f t="shared" si="10"/>
        <v>2014-04</v>
      </c>
      <c r="Q422" s="36">
        <v>42586.0</v>
      </c>
      <c r="R422" s="4">
        <v>0.702251752201</v>
      </c>
      <c r="T422" t="str">
        <f t="shared" si="12"/>
        <v>2016-08</v>
      </c>
      <c r="AB422" s="36">
        <v>40981.0</v>
      </c>
      <c r="AC422" s="4">
        <v>0.733275771472</v>
      </c>
      <c r="AE422" t="str">
        <f t="shared" si="14"/>
        <v>2012-03</v>
      </c>
      <c r="AG422" s="36">
        <v>41918.0</v>
      </c>
      <c r="AH422" s="4">
        <v>0.535678087643</v>
      </c>
      <c r="AJ422" s="48" t="str">
        <f t="shared" si="16"/>
        <v>2014-10</v>
      </c>
      <c r="AL422" s="36">
        <v>41734.0</v>
      </c>
      <c r="AM422" s="4">
        <v>0.731049257672</v>
      </c>
      <c r="AO422" s="49" t="str">
        <f t="shared" si="18"/>
        <v>2014-04</v>
      </c>
    </row>
    <row r="423">
      <c r="A423" s="36">
        <v>40994.0</v>
      </c>
      <c r="B423" s="34">
        <v>0.693702556478</v>
      </c>
      <c r="C423" s="36">
        <v>42361.0</v>
      </c>
      <c r="D423" t="str">
        <f t="shared" si="6"/>
        <v>2012-03</v>
      </c>
      <c r="E423" s="44" t="str">
        <f t="shared" si="7"/>
        <v>2015-12</v>
      </c>
      <c r="F423" s="63"/>
      <c r="G423" s="36">
        <v>41378.0</v>
      </c>
      <c r="H423" s="34">
        <v>0.665775168048</v>
      </c>
      <c r="J423" t="str">
        <f t="shared" si="8"/>
        <v>2013-04</v>
      </c>
      <c r="K423" s="44"/>
      <c r="L423" s="46">
        <v>41746.0</v>
      </c>
      <c r="M423" s="4">
        <v>0.622994116863</v>
      </c>
      <c r="O423" t="str">
        <f t="shared" si="10"/>
        <v>2014-04</v>
      </c>
      <c r="Q423" s="36">
        <v>42587.0</v>
      </c>
      <c r="R423" s="4">
        <v>0.753456555916</v>
      </c>
      <c r="T423" t="str">
        <f t="shared" si="12"/>
        <v>2016-08</v>
      </c>
      <c r="AB423" s="36">
        <v>40982.0</v>
      </c>
      <c r="AC423" s="4">
        <v>0.627161263764</v>
      </c>
      <c r="AE423" t="str">
        <f t="shared" si="14"/>
        <v>2012-03</v>
      </c>
      <c r="AG423" s="36">
        <v>41919.0</v>
      </c>
      <c r="AH423" s="4">
        <v>0.578553342572</v>
      </c>
      <c r="AJ423" s="48" t="str">
        <f t="shared" si="16"/>
        <v>2014-10</v>
      </c>
      <c r="AL423" s="36">
        <v>41740.0</v>
      </c>
      <c r="AM423" s="4">
        <v>0.658483705654</v>
      </c>
      <c r="AO423" s="49" t="str">
        <f t="shared" si="18"/>
        <v>2014-04</v>
      </c>
    </row>
    <row r="424">
      <c r="A424" s="36">
        <v>41000.0</v>
      </c>
      <c r="B424" s="34">
        <v>0.684356462807</v>
      </c>
      <c r="C424" s="36">
        <v>42389.0</v>
      </c>
      <c r="D424" t="str">
        <f t="shared" si="6"/>
        <v>2012-04</v>
      </c>
      <c r="E424" s="44" t="str">
        <f t="shared" si="7"/>
        <v>2016-01</v>
      </c>
      <c r="F424" s="63"/>
      <c r="G424" s="36">
        <v>41379.0</v>
      </c>
      <c r="H424" s="34">
        <v>0.594524191348</v>
      </c>
      <c r="J424" t="str">
        <f t="shared" si="8"/>
        <v>2013-04</v>
      </c>
      <c r="K424" s="44"/>
      <c r="L424" s="46">
        <v>41752.0</v>
      </c>
      <c r="M424" s="4">
        <v>0.730746493478</v>
      </c>
      <c r="O424" t="str">
        <f t="shared" si="10"/>
        <v>2014-04</v>
      </c>
      <c r="Q424" s="36">
        <v>42593.0</v>
      </c>
      <c r="R424" s="4">
        <v>0.7177829624</v>
      </c>
      <c r="T424" t="str">
        <f t="shared" si="12"/>
        <v>2016-08</v>
      </c>
      <c r="AB424" s="36">
        <v>40988.0</v>
      </c>
      <c r="AC424" s="4">
        <v>0.622208648921</v>
      </c>
      <c r="AE424" t="str">
        <f t="shared" si="14"/>
        <v>2012-03</v>
      </c>
      <c r="AG424" s="36">
        <v>41925.0</v>
      </c>
      <c r="AH424" s="4">
        <v>0.666754560623</v>
      </c>
      <c r="AJ424" s="48" t="str">
        <f t="shared" si="16"/>
        <v>2014-10</v>
      </c>
      <c r="AL424" s="36">
        <v>41741.0</v>
      </c>
      <c r="AM424" s="4">
        <v>0.743919124588</v>
      </c>
      <c r="AO424" s="49" t="str">
        <f t="shared" si="18"/>
        <v>2014-04</v>
      </c>
    </row>
    <row r="425">
      <c r="A425" s="36">
        <v>41001.0</v>
      </c>
      <c r="B425" s="34">
        <v>0.793978636413</v>
      </c>
      <c r="C425" s="36">
        <v>42390.0</v>
      </c>
      <c r="D425" t="str">
        <f t="shared" si="6"/>
        <v>2012-04</v>
      </c>
      <c r="E425" s="44" t="str">
        <f t="shared" si="7"/>
        <v>2016-01</v>
      </c>
      <c r="F425" s="63"/>
      <c r="G425" s="36">
        <v>41385.0</v>
      </c>
      <c r="H425" s="34">
        <v>0.682395014951</v>
      </c>
      <c r="J425" t="str">
        <f t="shared" si="8"/>
        <v>2013-04</v>
      </c>
      <c r="K425" s="44"/>
      <c r="L425" s="46">
        <v>41753.0</v>
      </c>
      <c r="M425" s="4">
        <v>0.553211373058</v>
      </c>
      <c r="O425" t="str">
        <f t="shared" si="10"/>
        <v>2014-04</v>
      </c>
      <c r="Q425" s="36">
        <v>42594.0</v>
      </c>
      <c r="R425" s="4">
        <v>0.608010695206</v>
      </c>
      <c r="T425" t="str">
        <f t="shared" si="12"/>
        <v>2016-08</v>
      </c>
      <c r="AB425" s="36">
        <v>40989.0</v>
      </c>
      <c r="AC425" s="4">
        <v>0.744174905789</v>
      </c>
      <c r="AE425" t="str">
        <f t="shared" si="14"/>
        <v>2012-03</v>
      </c>
      <c r="AG425" s="36">
        <v>41926.0</v>
      </c>
      <c r="AH425" s="4">
        <v>0.684025803708</v>
      </c>
      <c r="AJ425" s="48" t="str">
        <f t="shared" si="16"/>
        <v>2014-10</v>
      </c>
      <c r="AL425" s="36">
        <v>41747.0</v>
      </c>
      <c r="AM425" s="4">
        <v>0.786636028137</v>
      </c>
      <c r="AO425" s="49" t="str">
        <f t="shared" si="18"/>
        <v>2014-04</v>
      </c>
    </row>
    <row r="426">
      <c r="A426" s="36">
        <v>41007.0</v>
      </c>
      <c r="B426" s="34">
        <v>0.641983032338</v>
      </c>
      <c r="C426" s="36">
        <v>42409.0</v>
      </c>
      <c r="D426" t="str">
        <f t="shared" si="6"/>
        <v>2012-04</v>
      </c>
      <c r="E426" s="44" t="str">
        <f t="shared" si="7"/>
        <v>2016-02</v>
      </c>
      <c r="F426" s="63"/>
      <c r="G426" s="36">
        <v>41386.0</v>
      </c>
      <c r="H426" s="34">
        <v>0.758070372303</v>
      </c>
      <c r="J426" t="str">
        <f t="shared" si="8"/>
        <v>2013-04</v>
      </c>
      <c r="K426" s="44"/>
      <c r="L426" s="46">
        <v>41759.0</v>
      </c>
      <c r="M426" s="4">
        <v>0.736943939703</v>
      </c>
      <c r="O426" t="str">
        <f t="shared" si="10"/>
        <v>2014-04</v>
      </c>
      <c r="Q426" s="36">
        <v>42599.0</v>
      </c>
      <c r="R426" s="4">
        <v>0.859689558003</v>
      </c>
      <c r="T426" t="str">
        <f t="shared" si="12"/>
        <v>2016-08</v>
      </c>
      <c r="AB426" s="36">
        <v>40995.0</v>
      </c>
      <c r="AC426" s="4">
        <v>0.725397058528</v>
      </c>
      <c r="AE426" t="str">
        <f t="shared" si="14"/>
        <v>2012-03</v>
      </c>
      <c r="AG426" s="36">
        <v>41932.0</v>
      </c>
      <c r="AH426" s="4">
        <v>0.7484074095</v>
      </c>
      <c r="AJ426" s="48" t="str">
        <f t="shared" si="16"/>
        <v>2014-10</v>
      </c>
      <c r="AL426" s="36">
        <v>41748.0</v>
      </c>
      <c r="AM426" s="4">
        <v>0.590128163194</v>
      </c>
      <c r="AO426" s="49" t="str">
        <f t="shared" si="18"/>
        <v>2014-04</v>
      </c>
    </row>
    <row r="427">
      <c r="A427" s="36">
        <v>41008.0</v>
      </c>
      <c r="B427" s="34">
        <v>0.742275548042</v>
      </c>
      <c r="C427" s="36">
        <v>42412.0</v>
      </c>
      <c r="D427" t="str">
        <f t="shared" si="6"/>
        <v>2012-04</v>
      </c>
      <c r="E427" s="44" t="str">
        <f t="shared" si="7"/>
        <v>2016-02</v>
      </c>
      <c r="F427" s="63"/>
      <c r="G427" s="36">
        <v>41392.0</v>
      </c>
      <c r="H427" s="34">
        <v>0.792353152755</v>
      </c>
      <c r="J427" t="str">
        <f t="shared" si="8"/>
        <v>2013-04</v>
      </c>
      <c r="K427" s="44"/>
      <c r="L427" s="46">
        <v>41760.0</v>
      </c>
      <c r="M427" s="4">
        <v>0.671253656782</v>
      </c>
      <c r="O427" t="str">
        <f t="shared" si="10"/>
        <v>2014-05</v>
      </c>
      <c r="Q427" s="36">
        <v>42600.0</v>
      </c>
      <c r="R427" s="4">
        <v>0.763916781624</v>
      </c>
      <c r="T427" t="str">
        <f t="shared" si="12"/>
        <v>2016-08</v>
      </c>
      <c r="AB427" s="36">
        <v>40996.0</v>
      </c>
      <c r="AC427" s="4">
        <v>0.565667964062</v>
      </c>
      <c r="AE427" t="str">
        <f t="shared" si="14"/>
        <v>2012-03</v>
      </c>
      <c r="AG427" s="36">
        <v>41933.0</v>
      </c>
      <c r="AH427" s="4">
        <v>0.800661694024</v>
      </c>
      <c r="AJ427" s="48" t="str">
        <f t="shared" si="16"/>
        <v>2014-10</v>
      </c>
      <c r="AL427" s="36">
        <v>41754.0</v>
      </c>
      <c r="AM427" s="4">
        <v>0.759972266354</v>
      </c>
      <c r="AO427" s="49" t="str">
        <f t="shared" si="18"/>
        <v>2014-04</v>
      </c>
    </row>
    <row r="428">
      <c r="A428" s="36">
        <v>41014.0</v>
      </c>
      <c r="B428" s="34">
        <v>0.779761472208</v>
      </c>
      <c r="C428" s="36">
        <v>42415.0</v>
      </c>
      <c r="D428" t="str">
        <f t="shared" si="6"/>
        <v>2012-04</v>
      </c>
      <c r="E428" s="44" t="str">
        <f t="shared" si="7"/>
        <v>2016-02</v>
      </c>
      <c r="F428" s="63"/>
      <c r="G428" s="36">
        <v>41393.0</v>
      </c>
      <c r="H428" s="34">
        <v>0.66485549694</v>
      </c>
      <c r="J428" t="str">
        <f t="shared" si="8"/>
        <v>2013-04</v>
      </c>
      <c r="K428" s="44"/>
      <c r="L428" s="46">
        <v>41766.0</v>
      </c>
      <c r="M428" s="4">
        <v>0.683090514942</v>
      </c>
      <c r="O428" t="str">
        <f t="shared" si="10"/>
        <v>2014-05</v>
      </c>
      <c r="Q428" s="36">
        <v>42601.0</v>
      </c>
      <c r="R428" s="4">
        <v>0.991501948295</v>
      </c>
      <c r="T428" t="str">
        <f t="shared" si="12"/>
        <v>2016-08</v>
      </c>
      <c r="AB428" s="36">
        <v>41002.0</v>
      </c>
      <c r="AC428" s="4">
        <v>0.73531402555</v>
      </c>
      <c r="AE428" t="str">
        <f t="shared" si="14"/>
        <v>2012-04</v>
      </c>
      <c r="AG428" s="36">
        <v>41939.0</v>
      </c>
      <c r="AH428" s="4">
        <v>0.675656623078</v>
      </c>
      <c r="AJ428" s="48" t="str">
        <f t="shared" si="16"/>
        <v>2014-10</v>
      </c>
      <c r="AL428" s="36">
        <v>41755.0</v>
      </c>
      <c r="AM428" s="4">
        <v>0.774447325545</v>
      </c>
      <c r="AO428" s="49" t="str">
        <f t="shared" si="18"/>
        <v>2014-04</v>
      </c>
    </row>
    <row r="429">
      <c r="A429" s="36">
        <v>41015.0</v>
      </c>
      <c r="B429" s="34">
        <v>0.680496397417</v>
      </c>
      <c r="C429" s="36">
        <v>42417.0</v>
      </c>
      <c r="D429" t="str">
        <f t="shared" si="6"/>
        <v>2012-04</v>
      </c>
      <c r="E429" s="44" t="str">
        <f t="shared" si="7"/>
        <v>2016-02</v>
      </c>
      <c r="F429" s="63"/>
      <c r="G429" s="36">
        <v>41399.0</v>
      </c>
      <c r="H429" s="34">
        <v>0.719290311725</v>
      </c>
      <c r="J429" t="str">
        <f t="shared" si="8"/>
        <v>2013-05</v>
      </c>
      <c r="K429" s="44"/>
      <c r="L429" s="46">
        <v>41767.0</v>
      </c>
      <c r="M429" s="4">
        <v>0.806417628195</v>
      </c>
      <c r="O429" t="str">
        <f t="shared" si="10"/>
        <v>2014-05</v>
      </c>
      <c r="Q429" s="36">
        <v>42607.0</v>
      </c>
      <c r="R429" s="4">
        <v>0.720243883687</v>
      </c>
      <c r="T429" t="str">
        <f t="shared" si="12"/>
        <v>2016-08</v>
      </c>
      <c r="AB429" s="36">
        <v>41003.0</v>
      </c>
      <c r="AC429" s="4">
        <v>0.776377011591</v>
      </c>
      <c r="AE429" t="str">
        <f t="shared" si="14"/>
        <v>2012-04</v>
      </c>
      <c r="AG429" s="36">
        <v>41940.0</v>
      </c>
      <c r="AH429" s="4">
        <v>0.705939480737</v>
      </c>
      <c r="AJ429" s="48" t="str">
        <f t="shared" si="16"/>
        <v>2014-10</v>
      </c>
      <c r="AL429" s="36">
        <v>41761.0</v>
      </c>
      <c r="AM429" s="4">
        <v>0.778462535782</v>
      </c>
      <c r="AO429" s="49" t="str">
        <f t="shared" si="18"/>
        <v>2014-05</v>
      </c>
    </row>
    <row r="430">
      <c r="A430" s="36">
        <v>41021.0</v>
      </c>
      <c r="B430" s="34">
        <v>0.777072364174</v>
      </c>
      <c r="C430" s="36">
        <v>42431.0</v>
      </c>
      <c r="D430" t="str">
        <f t="shared" si="6"/>
        <v>2012-04</v>
      </c>
      <c r="E430" s="44" t="str">
        <f t="shared" si="7"/>
        <v>2016-03</v>
      </c>
      <c r="F430" s="63"/>
      <c r="G430" s="36">
        <v>41400.0</v>
      </c>
      <c r="H430" s="34">
        <v>0.618508217616</v>
      </c>
      <c r="J430" t="str">
        <f t="shared" si="8"/>
        <v>2013-05</v>
      </c>
      <c r="K430" s="44"/>
      <c r="L430" s="46">
        <v>41773.0</v>
      </c>
      <c r="M430" s="4">
        <v>0.769742996131</v>
      </c>
      <c r="O430" t="str">
        <f t="shared" si="10"/>
        <v>2014-05</v>
      </c>
      <c r="Q430" s="36">
        <v>42608.0</v>
      </c>
      <c r="R430" s="4">
        <v>0.682910136484</v>
      </c>
      <c r="T430" t="str">
        <f t="shared" si="12"/>
        <v>2016-08</v>
      </c>
      <c r="AB430" s="36">
        <v>41009.0</v>
      </c>
      <c r="AC430" s="4">
        <v>0.702634959886</v>
      </c>
      <c r="AE430" t="str">
        <f t="shared" si="14"/>
        <v>2012-04</v>
      </c>
      <c r="AG430" s="36">
        <v>41946.0</v>
      </c>
      <c r="AH430" s="4">
        <v>0.665074263938</v>
      </c>
      <c r="AJ430" s="48" t="str">
        <f t="shared" si="16"/>
        <v>2014-11</v>
      </c>
      <c r="AL430" s="36">
        <v>41762.0</v>
      </c>
      <c r="AM430" s="4">
        <v>0.585223160999</v>
      </c>
      <c r="AO430" s="49" t="str">
        <f t="shared" si="18"/>
        <v>2014-05</v>
      </c>
    </row>
    <row r="431">
      <c r="A431" s="36">
        <v>41022.0</v>
      </c>
      <c r="B431" s="34">
        <v>0.693233521002</v>
      </c>
      <c r="C431" s="36">
        <v>42418.0</v>
      </c>
      <c r="D431" t="str">
        <f t="shared" si="6"/>
        <v>2012-04</v>
      </c>
      <c r="E431" s="44" t="str">
        <f t="shared" si="7"/>
        <v>2016-02</v>
      </c>
      <c r="F431" s="63"/>
      <c r="G431" s="36">
        <v>41406.0</v>
      </c>
      <c r="H431" s="34">
        <v>0.785544387195</v>
      </c>
      <c r="J431" t="str">
        <f t="shared" si="8"/>
        <v>2013-05</v>
      </c>
      <c r="K431" s="44"/>
      <c r="L431" s="46">
        <v>41774.0</v>
      </c>
      <c r="M431" s="4">
        <v>0.645786183653</v>
      </c>
      <c r="O431" t="str">
        <f t="shared" si="10"/>
        <v>2014-05</v>
      </c>
      <c r="Q431" s="36">
        <v>42614.0</v>
      </c>
      <c r="R431" s="4">
        <v>0.749157907563</v>
      </c>
      <c r="T431" t="str">
        <f t="shared" si="12"/>
        <v>2016-09</v>
      </c>
      <c r="AB431" s="36">
        <v>41010.0</v>
      </c>
      <c r="AC431" s="4">
        <v>0.667782927117</v>
      </c>
      <c r="AE431" t="str">
        <f t="shared" si="14"/>
        <v>2012-04</v>
      </c>
      <c r="AG431" s="36">
        <v>41947.0</v>
      </c>
      <c r="AH431" s="4">
        <v>0.697807247887</v>
      </c>
      <c r="AJ431" s="48" t="str">
        <f t="shared" si="16"/>
        <v>2014-11</v>
      </c>
      <c r="AL431" s="36">
        <v>41768.0</v>
      </c>
      <c r="AM431" s="4">
        <v>0.725197157063</v>
      </c>
      <c r="AO431" s="49" t="str">
        <f t="shared" si="18"/>
        <v>2014-05</v>
      </c>
    </row>
    <row r="432">
      <c r="A432" s="36">
        <v>41028.0</v>
      </c>
      <c r="B432" s="34">
        <v>0.712767473912</v>
      </c>
      <c r="C432" s="36">
        <v>42423.0</v>
      </c>
      <c r="D432" t="str">
        <f t="shared" si="6"/>
        <v>2012-04</v>
      </c>
      <c r="E432" s="44" t="str">
        <f t="shared" si="7"/>
        <v>2016-02</v>
      </c>
      <c r="F432" s="63"/>
      <c r="G432" s="36">
        <v>41407.0</v>
      </c>
      <c r="H432" s="34">
        <v>0.634174180481</v>
      </c>
      <c r="J432" t="str">
        <f t="shared" si="8"/>
        <v>2013-05</v>
      </c>
      <c r="K432" s="44"/>
      <c r="L432" s="46">
        <v>41780.0</v>
      </c>
      <c r="M432" s="4">
        <v>0.81167777808</v>
      </c>
      <c r="O432" t="str">
        <f t="shared" si="10"/>
        <v>2014-05</v>
      </c>
      <c r="Q432" s="36">
        <v>42621.0</v>
      </c>
      <c r="R432" s="4">
        <v>0.749918112633</v>
      </c>
      <c r="T432" t="str">
        <f t="shared" si="12"/>
        <v>2016-09</v>
      </c>
      <c r="AB432" s="36">
        <v>41016.0</v>
      </c>
      <c r="AC432" s="4">
        <v>0.724335870183</v>
      </c>
      <c r="AE432" t="str">
        <f t="shared" si="14"/>
        <v>2012-04</v>
      </c>
      <c r="AG432" s="36">
        <v>41953.0</v>
      </c>
      <c r="AH432" s="4">
        <v>0.675438909138</v>
      </c>
      <c r="AJ432" s="48" t="str">
        <f t="shared" si="16"/>
        <v>2014-11</v>
      </c>
      <c r="AL432" s="36">
        <v>41769.0</v>
      </c>
      <c r="AM432" s="4">
        <v>0.80607892936</v>
      </c>
      <c r="AO432" s="49" t="str">
        <f t="shared" si="18"/>
        <v>2014-05</v>
      </c>
    </row>
    <row r="433">
      <c r="A433" s="36">
        <v>41029.0</v>
      </c>
      <c r="B433" s="34">
        <v>0.714365144053</v>
      </c>
      <c r="C433" s="36">
        <v>42432.0</v>
      </c>
      <c r="D433" t="str">
        <f t="shared" si="6"/>
        <v>2012-04</v>
      </c>
      <c r="E433" s="44" t="str">
        <f t="shared" si="7"/>
        <v>2016-03</v>
      </c>
      <c r="F433" s="63"/>
      <c r="G433" s="36">
        <v>41413.0</v>
      </c>
      <c r="H433" s="34">
        <v>0.752197497175</v>
      </c>
      <c r="J433" t="str">
        <f t="shared" si="8"/>
        <v>2013-05</v>
      </c>
      <c r="K433" s="44"/>
      <c r="L433" s="46">
        <v>41781.0</v>
      </c>
      <c r="M433" s="4">
        <v>0.646251428246</v>
      </c>
      <c r="O433" t="str">
        <f t="shared" si="10"/>
        <v>2014-05</v>
      </c>
      <c r="Q433" s="36">
        <v>42622.0</v>
      </c>
      <c r="R433" s="4">
        <v>0.994329807776</v>
      </c>
      <c r="T433" t="str">
        <f t="shared" si="12"/>
        <v>2016-09</v>
      </c>
      <c r="AB433" s="36">
        <v>41017.0</v>
      </c>
      <c r="AC433" s="4">
        <v>0.657737068456</v>
      </c>
      <c r="AE433" t="str">
        <f t="shared" si="14"/>
        <v>2012-04</v>
      </c>
      <c r="AG433" s="36">
        <v>41954.0</v>
      </c>
      <c r="AH433" s="4">
        <v>0.751966568038</v>
      </c>
      <c r="AJ433" s="48" t="str">
        <f t="shared" si="16"/>
        <v>2014-11</v>
      </c>
      <c r="AL433" s="36">
        <v>41775.0</v>
      </c>
      <c r="AM433" s="4">
        <v>0.695510602505</v>
      </c>
      <c r="AO433" s="49" t="str">
        <f t="shared" si="18"/>
        <v>2014-05</v>
      </c>
    </row>
    <row r="434">
      <c r="A434" s="36">
        <v>41035.0</v>
      </c>
      <c r="B434" s="34">
        <v>0.708550813247</v>
      </c>
      <c r="C434" s="36">
        <v>42432.0</v>
      </c>
      <c r="D434" t="str">
        <f t="shared" si="6"/>
        <v>2012-05</v>
      </c>
      <c r="E434" s="44" t="str">
        <f t="shared" si="7"/>
        <v>2016-03</v>
      </c>
      <c r="F434" s="63"/>
      <c r="G434" s="36">
        <v>41414.0</v>
      </c>
      <c r="H434" s="34">
        <v>0.677505188428</v>
      </c>
      <c r="J434" t="str">
        <f t="shared" si="8"/>
        <v>2013-05</v>
      </c>
      <c r="K434" s="44"/>
      <c r="L434" s="46">
        <v>41787.0</v>
      </c>
      <c r="M434" s="4">
        <v>0.663011946623</v>
      </c>
      <c r="O434" t="str">
        <f t="shared" si="10"/>
        <v>2014-05</v>
      </c>
      <c r="Q434" s="36">
        <v>42628.0</v>
      </c>
      <c r="R434" s="4">
        <v>0.711442091868</v>
      </c>
      <c r="T434" t="str">
        <f t="shared" si="12"/>
        <v>2016-09</v>
      </c>
      <c r="AB434" s="36">
        <v>41023.0</v>
      </c>
      <c r="AC434" s="4">
        <v>0.679220100201</v>
      </c>
      <c r="AE434" t="str">
        <f t="shared" si="14"/>
        <v>2012-04</v>
      </c>
      <c r="AG434" s="36">
        <v>41960.0</v>
      </c>
      <c r="AH434" s="4">
        <v>0.736257363508</v>
      </c>
      <c r="AJ434" s="48" t="str">
        <f t="shared" si="16"/>
        <v>2014-11</v>
      </c>
      <c r="AL434" s="36">
        <v>41776.0</v>
      </c>
      <c r="AM434" s="4">
        <v>0.567905696509</v>
      </c>
      <c r="AO434" s="49" t="str">
        <f t="shared" si="18"/>
        <v>2014-05</v>
      </c>
    </row>
    <row r="435">
      <c r="A435" s="36">
        <v>41036.0</v>
      </c>
      <c r="B435" s="34">
        <v>0.620300995943</v>
      </c>
      <c r="C435" s="36">
        <v>42438.0</v>
      </c>
      <c r="D435" t="str">
        <f t="shared" si="6"/>
        <v>2012-05</v>
      </c>
      <c r="E435" s="44" t="str">
        <f t="shared" si="7"/>
        <v>2016-03</v>
      </c>
      <c r="F435" s="63"/>
      <c r="G435" s="36">
        <v>41420.0</v>
      </c>
      <c r="H435" s="34">
        <v>0.670619165884</v>
      </c>
      <c r="J435" t="str">
        <f t="shared" si="8"/>
        <v>2013-05</v>
      </c>
      <c r="K435" s="44"/>
      <c r="L435" s="46">
        <v>41788.0</v>
      </c>
      <c r="M435" s="4">
        <v>0.719557477261</v>
      </c>
      <c r="O435" t="str">
        <f t="shared" si="10"/>
        <v>2014-05</v>
      </c>
      <c r="Q435" s="36">
        <v>42629.0</v>
      </c>
      <c r="R435" s="4">
        <v>0.755522245055</v>
      </c>
      <c r="T435" t="str">
        <f t="shared" si="12"/>
        <v>2016-09</v>
      </c>
      <c r="AB435" s="36">
        <v>41024.0</v>
      </c>
      <c r="AC435" s="4">
        <v>0.698353884845</v>
      </c>
      <c r="AE435" t="str">
        <f t="shared" si="14"/>
        <v>2012-04</v>
      </c>
      <c r="AG435" s="36">
        <v>41961.0</v>
      </c>
      <c r="AH435" s="4">
        <v>0.762348973685</v>
      </c>
      <c r="AJ435" s="48" t="str">
        <f t="shared" si="16"/>
        <v>2014-11</v>
      </c>
      <c r="AL435" s="36">
        <v>41782.0</v>
      </c>
      <c r="AM435" s="4">
        <v>0.727376643266</v>
      </c>
      <c r="AO435" s="49" t="str">
        <f t="shared" si="18"/>
        <v>2014-05</v>
      </c>
    </row>
    <row r="436">
      <c r="A436" s="36">
        <v>41042.0</v>
      </c>
      <c r="B436" s="34">
        <v>0.699171683926</v>
      </c>
      <c r="C436" s="36">
        <v>42451.0</v>
      </c>
      <c r="D436" t="str">
        <f t="shared" si="6"/>
        <v>2012-05</v>
      </c>
      <c r="E436" s="44" t="str">
        <f t="shared" si="7"/>
        <v>2016-03</v>
      </c>
      <c r="F436" s="63"/>
      <c r="G436" s="36">
        <v>41421.0</v>
      </c>
      <c r="H436" s="34">
        <v>0.545805231604</v>
      </c>
      <c r="J436" t="str">
        <f t="shared" si="8"/>
        <v>2013-05</v>
      </c>
      <c r="K436" s="44"/>
      <c r="L436" s="46">
        <v>41794.0</v>
      </c>
      <c r="M436" s="4">
        <v>0.67565137676</v>
      </c>
      <c r="O436" t="str">
        <f t="shared" si="10"/>
        <v>2014-06</v>
      </c>
      <c r="Q436" s="36">
        <v>42635.0</v>
      </c>
      <c r="R436" s="4">
        <v>0.681230611332</v>
      </c>
      <c r="T436" t="str">
        <f t="shared" si="12"/>
        <v>2016-09</v>
      </c>
      <c r="AB436" s="36">
        <v>41030.0</v>
      </c>
      <c r="AC436" s="4">
        <v>0.762426040426</v>
      </c>
      <c r="AE436" t="str">
        <f t="shared" si="14"/>
        <v>2012-05</v>
      </c>
      <c r="AG436" s="36">
        <v>41967.0</v>
      </c>
      <c r="AH436" s="4">
        <v>0.7389341196</v>
      </c>
      <c r="AJ436" s="48" t="str">
        <f t="shared" si="16"/>
        <v>2014-11</v>
      </c>
      <c r="AL436" s="36">
        <v>41783.0</v>
      </c>
      <c r="AM436" s="4">
        <v>0.49169607411</v>
      </c>
      <c r="AO436" s="49" t="str">
        <f t="shared" si="18"/>
        <v>2014-05</v>
      </c>
    </row>
    <row r="437">
      <c r="A437" s="36">
        <v>41043.0</v>
      </c>
      <c r="B437" s="34">
        <v>0.637203531839</v>
      </c>
      <c r="C437" s="36">
        <v>42461.0</v>
      </c>
      <c r="D437" t="str">
        <f t="shared" si="6"/>
        <v>2012-05</v>
      </c>
      <c r="E437" s="44" t="str">
        <f t="shared" si="7"/>
        <v>2016-04</v>
      </c>
      <c r="F437" s="63"/>
      <c r="G437" s="36">
        <v>41427.0</v>
      </c>
      <c r="H437" s="34">
        <v>0.674282054808</v>
      </c>
      <c r="J437" t="str">
        <f t="shared" si="8"/>
        <v>2013-06</v>
      </c>
      <c r="K437" s="44"/>
      <c r="L437" s="46">
        <v>41795.0</v>
      </c>
      <c r="M437" s="4">
        <v>0.773610025088</v>
      </c>
      <c r="O437" t="str">
        <f t="shared" si="10"/>
        <v>2014-06</v>
      </c>
      <c r="Q437" s="36">
        <v>42636.0</v>
      </c>
      <c r="R437" s="4">
        <v>0.723173027952</v>
      </c>
      <c r="T437" t="str">
        <f t="shared" si="12"/>
        <v>2016-09</v>
      </c>
      <c r="AB437" s="36">
        <v>41031.0</v>
      </c>
      <c r="AC437" s="4">
        <v>0.79231817435</v>
      </c>
      <c r="AE437" t="str">
        <f t="shared" si="14"/>
        <v>2012-05</v>
      </c>
      <c r="AG437" s="36">
        <v>41968.0</v>
      </c>
      <c r="AH437" s="4">
        <v>0.676238278885</v>
      </c>
      <c r="AJ437" s="48" t="str">
        <f t="shared" si="16"/>
        <v>2014-11</v>
      </c>
      <c r="AL437" s="36">
        <v>41789.0</v>
      </c>
      <c r="AM437" s="4">
        <v>0.756242992924</v>
      </c>
      <c r="AO437" s="49" t="str">
        <f t="shared" si="18"/>
        <v>2014-05</v>
      </c>
    </row>
    <row r="438">
      <c r="A438" s="36">
        <v>41049.0</v>
      </c>
      <c r="B438" s="34">
        <v>0.773449416247</v>
      </c>
      <c r="C438" s="36">
        <v>42472.0</v>
      </c>
      <c r="D438" t="str">
        <f t="shared" si="6"/>
        <v>2012-05</v>
      </c>
      <c r="E438" s="44" t="str">
        <f t="shared" si="7"/>
        <v>2016-04</v>
      </c>
      <c r="F438" s="63"/>
      <c r="G438" s="36">
        <v>41428.0</v>
      </c>
      <c r="H438" s="34">
        <v>0.622049287569</v>
      </c>
      <c r="J438" t="str">
        <f t="shared" si="8"/>
        <v>2013-06</v>
      </c>
      <c r="K438" s="44"/>
      <c r="L438" s="46">
        <v>41801.0</v>
      </c>
      <c r="M438" s="4">
        <v>0.709742057918</v>
      </c>
      <c r="O438" t="str">
        <f t="shared" si="10"/>
        <v>2014-06</v>
      </c>
      <c r="Q438" s="36">
        <v>42642.0</v>
      </c>
      <c r="R438" s="4">
        <v>0.692030179457</v>
      </c>
      <c r="T438" t="str">
        <f t="shared" si="12"/>
        <v>2016-09</v>
      </c>
      <c r="AB438" s="36">
        <v>41037.0</v>
      </c>
      <c r="AC438" s="4">
        <v>0.651709231357</v>
      </c>
      <c r="AE438" t="str">
        <f t="shared" si="14"/>
        <v>2012-05</v>
      </c>
      <c r="AG438" s="36">
        <v>41974.0</v>
      </c>
      <c r="AH438" s="4">
        <v>0.705576275116</v>
      </c>
      <c r="AJ438" s="48" t="str">
        <f t="shared" si="16"/>
        <v>2014-12</v>
      </c>
      <c r="AL438" s="36">
        <v>41790.0</v>
      </c>
      <c r="AM438" s="4">
        <v>0.741353695108</v>
      </c>
      <c r="AO438" s="49" t="str">
        <f t="shared" si="18"/>
        <v>2014-05</v>
      </c>
    </row>
    <row r="439">
      <c r="A439" s="36">
        <v>41050.0</v>
      </c>
      <c r="B439" s="34">
        <v>0.733611994163</v>
      </c>
      <c r="C439" s="36">
        <v>42496.0</v>
      </c>
      <c r="D439" t="str">
        <f t="shared" si="6"/>
        <v>2012-05</v>
      </c>
      <c r="E439" s="44" t="str">
        <f t="shared" si="7"/>
        <v>2016-05</v>
      </c>
      <c r="F439" s="63"/>
      <c r="G439" s="36">
        <v>41434.0</v>
      </c>
      <c r="H439" s="34">
        <v>0.75472556401</v>
      </c>
      <c r="J439" t="str">
        <f t="shared" si="8"/>
        <v>2013-06</v>
      </c>
      <c r="K439" s="44"/>
      <c r="L439" s="46">
        <v>41802.0</v>
      </c>
      <c r="M439" s="4">
        <v>0.495758728098</v>
      </c>
      <c r="O439" t="str">
        <f t="shared" si="10"/>
        <v>2014-06</v>
      </c>
      <c r="Q439" s="36">
        <v>42643.0</v>
      </c>
      <c r="R439" s="4">
        <v>0.769406952355</v>
      </c>
      <c r="T439" t="str">
        <f t="shared" si="12"/>
        <v>2016-09</v>
      </c>
      <c r="AB439" s="36">
        <v>41038.0</v>
      </c>
      <c r="AC439" s="4">
        <v>0.728559547833</v>
      </c>
      <c r="AE439" t="str">
        <f t="shared" si="14"/>
        <v>2012-05</v>
      </c>
      <c r="AG439" s="36">
        <v>41975.0</v>
      </c>
      <c r="AH439" s="4">
        <v>0.78398571757</v>
      </c>
      <c r="AJ439" s="48" t="str">
        <f t="shared" si="16"/>
        <v>2014-12</v>
      </c>
      <c r="AL439" s="36">
        <v>41796.0</v>
      </c>
      <c r="AM439" s="4">
        <v>0.750482819508</v>
      </c>
      <c r="AO439" s="49" t="str">
        <f t="shared" si="18"/>
        <v>2014-06</v>
      </c>
    </row>
    <row r="440">
      <c r="A440" s="36">
        <v>41056.0</v>
      </c>
      <c r="B440" s="34">
        <v>0.742986916858</v>
      </c>
      <c r="C440" s="36">
        <v>42514.0</v>
      </c>
      <c r="D440" t="str">
        <f t="shared" si="6"/>
        <v>2012-05</v>
      </c>
      <c r="E440" s="44" t="str">
        <f t="shared" si="7"/>
        <v>2016-05</v>
      </c>
      <c r="F440" s="63"/>
      <c r="G440" s="36">
        <v>41435.0</v>
      </c>
      <c r="H440" s="34">
        <v>0.710268993313</v>
      </c>
      <c r="J440" t="str">
        <f t="shared" si="8"/>
        <v>2013-06</v>
      </c>
      <c r="K440" s="44"/>
      <c r="L440" s="46">
        <v>41808.0</v>
      </c>
      <c r="M440" s="4">
        <v>0.70194666477</v>
      </c>
      <c r="O440" t="str">
        <f t="shared" si="10"/>
        <v>2014-06</v>
      </c>
      <c r="Q440" s="36">
        <v>42649.0</v>
      </c>
      <c r="R440" s="4">
        <v>0.700790517322</v>
      </c>
      <c r="T440" t="str">
        <f t="shared" si="12"/>
        <v>2016-10</v>
      </c>
      <c r="AB440" s="36">
        <v>41044.0</v>
      </c>
      <c r="AC440" s="4">
        <v>0.742221280205</v>
      </c>
      <c r="AE440" t="str">
        <f t="shared" si="14"/>
        <v>2012-05</v>
      </c>
      <c r="AG440" s="36">
        <v>41981.0</v>
      </c>
      <c r="AH440" s="4">
        <v>0.7079437087</v>
      </c>
      <c r="AJ440" s="48" t="str">
        <f t="shared" si="16"/>
        <v>2014-12</v>
      </c>
      <c r="AL440" s="36">
        <v>41797.0</v>
      </c>
      <c r="AM440" s="4">
        <v>0.753240800657</v>
      </c>
      <c r="AO440" s="49" t="str">
        <f t="shared" si="18"/>
        <v>2014-06</v>
      </c>
    </row>
    <row r="441">
      <c r="A441" s="36">
        <v>41057.0</v>
      </c>
      <c r="B441" s="34">
        <v>0.742943270272</v>
      </c>
      <c r="C441" s="36">
        <v>42544.0</v>
      </c>
      <c r="D441" t="str">
        <f t="shared" si="6"/>
        <v>2012-05</v>
      </c>
      <c r="E441" s="44" t="str">
        <f t="shared" si="7"/>
        <v>2016-06</v>
      </c>
      <c r="F441" s="63"/>
      <c r="G441" s="36">
        <v>41441.0</v>
      </c>
      <c r="H441" s="34">
        <v>0.639552946569</v>
      </c>
      <c r="J441" t="str">
        <f t="shared" si="8"/>
        <v>2013-06</v>
      </c>
      <c r="K441" s="44"/>
      <c r="L441" s="46">
        <v>41809.0</v>
      </c>
      <c r="M441" s="4">
        <v>0.728797113733</v>
      </c>
      <c r="O441" t="str">
        <f t="shared" si="10"/>
        <v>2014-06</v>
      </c>
      <c r="Q441" s="36">
        <v>42650.0</v>
      </c>
      <c r="R441" s="4">
        <v>0.724359912355</v>
      </c>
      <c r="T441" t="str">
        <f t="shared" si="12"/>
        <v>2016-10</v>
      </c>
      <c r="AB441" s="36">
        <v>41045.0</v>
      </c>
      <c r="AC441" s="4">
        <v>0.782057072912</v>
      </c>
      <c r="AE441" t="str">
        <f t="shared" si="14"/>
        <v>2012-05</v>
      </c>
      <c r="AG441" s="36">
        <v>41982.0</v>
      </c>
      <c r="AH441" s="4">
        <v>0.757236359925</v>
      </c>
      <c r="AJ441" s="48" t="str">
        <f t="shared" si="16"/>
        <v>2014-12</v>
      </c>
      <c r="AL441" s="36">
        <v>41803.0</v>
      </c>
      <c r="AM441" s="4">
        <v>0.706538797081</v>
      </c>
      <c r="AO441" s="49" t="str">
        <f t="shared" si="18"/>
        <v>2014-06</v>
      </c>
    </row>
    <row r="442">
      <c r="A442" s="36">
        <v>41063.0</v>
      </c>
      <c r="B442" s="34">
        <v>0.582941231408</v>
      </c>
      <c r="C442" s="36">
        <v>42549.0</v>
      </c>
      <c r="D442" t="str">
        <f t="shared" si="6"/>
        <v>2012-06</v>
      </c>
      <c r="E442" s="44" t="str">
        <f t="shared" si="7"/>
        <v>2016-06</v>
      </c>
      <c r="F442" s="63"/>
      <c r="G442" s="36">
        <v>41442.0</v>
      </c>
      <c r="H442" s="34">
        <v>0.641267736507</v>
      </c>
      <c r="J442" t="str">
        <f t="shared" si="8"/>
        <v>2013-06</v>
      </c>
      <c r="K442" s="44"/>
      <c r="L442" s="46">
        <v>41815.0</v>
      </c>
      <c r="M442" s="4">
        <v>0.739261190423</v>
      </c>
      <c r="O442" t="str">
        <f t="shared" si="10"/>
        <v>2014-06</v>
      </c>
      <c r="Q442" s="36">
        <v>42656.0</v>
      </c>
      <c r="R442" s="4">
        <v>0.704720082402</v>
      </c>
      <c r="T442" t="str">
        <f t="shared" si="12"/>
        <v>2016-10</v>
      </c>
      <c r="AB442" s="36">
        <v>41051.0</v>
      </c>
      <c r="AC442" s="4">
        <v>0.721757871916</v>
      </c>
      <c r="AE442" t="str">
        <f t="shared" si="14"/>
        <v>2012-05</v>
      </c>
      <c r="AG442" s="36">
        <v>41988.0</v>
      </c>
      <c r="AH442" s="4">
        <v>0.681279670575</v>
      </c>
      <c r="AJ442" s="48" t="str">
        <f t="shared" si="16"/>
        <v>2014-12</v>
      </c>
      <c r="AL442" s="36">
        <v>41804.0</v>
      </c>
      <c r="AM442" s="4">
        <v>0.535617476517</v>
      </c>
      <c r="AO442" s="49" t="str">
        <f t="shared" si="18"/>
        <v>2014-06</v>
      </c>
    </row>
    <row r="443">
      <c r="A443" s="36">
        <v>41064.0</v>
      </c>
      <c r="B443" s="34">
        <v>0.740750794658</v>
      </c>
      <c r="C443" s="36">
        <v>42598.0</v>
      </c>
      <c r="D443" t="str">
        <f t="shared" si="6"/>
        <v>2012-06</v>
      </c>
      <c r="E443" s="44" t="str">
        <f t="shared" si="7"/>
        <v>2016-08</v>
      </c>
      <c r="F443" s="63"/>
      <c r="G443" s="36">
        <v>41448.0</v>
      </c>
      <c r="H443" s="34">
        <v>0.690878749086</v>
      </c>
      <c r="J443" t="str">
        <f t="shared" si="8"/>
        <v>2013-06</v>
      </c>
      <c r="K443" s="44"/>
      <c r="L443" s="46">
        <v>41816.0</v>
      </c>
      <c r="M443" s="4">
        <v>0.893823656941</v>
      </c>
      <c r="O443" t="str">
        <f t="shared" si="10"/>
        <v>2014-06</v>
      </c>
      <c r="Q443" s="36">
        <v>42657.0</v>
      </c>
      <c r="R443" s="4">
        <v>0.744399654269</v>
      </c>
      <c r="T443" t="str">
        <f t="shared" si="12"/>
        <v>2016-10</v>
      </c>
      <c r="AB443" s="36">
        <v>41052.0</v>
      </c>
      <c r="AC443" s="4">
        <v>0.795949399369</v>
      </c>
      <c r="AE443" t="str">
        <f t="shared" si="14"/>
        <v>2012-05</v>
      </c>
      <c r="AG443" s="36">
        <v>41989.0</v>
      </c>
      <c r="AH443" s="4">
        <v>0.597221270185</v>
      </c>
      <c r="AJ443" s="48" t="str">
        <f t="shared" si="16"/>
        <v>2014-12</v>
      </c>
      <c r="AL443" s="36">
        <v>41810.0</v>
      </c>
      <c r="AM443" s="4">
        <v>0.704127171893</v>
      </c>
      <c r="AO443" s="49" t="str">
        <f t="shared" si="18"/>
        <v>2014-06</v>
      </c>
    </row>
    <row r="444">
      <c r="A444" s="36">
        <v>41070.0</v>
      </c>
      <c r="B444" s="34">
        <v>0.73339936194</v>
      </c>
      <c r="C444" s="36">
        <v>42641.0</v>
      </c>
      <c r="D444" t="str">
        <f t="shared" si="6"/>
        <v>2012-06</v>
      </c>
      <c r="E444" s="44" t="str">
        <f t="shared" si="7"/>
        <v>2016-09</v>
      </c>
      <c r="F444" s="63"/>
      <c r="G444" s="36">
        <v>41449.0</v>
      </c>
      <c r="H444" s="34">
        <v>0.769794815424</v>
      </c>
      <c r="J444" t="str">
        <f t="shared" si="8"/>
        <v>2013-06</v>
      </c>
      <c r="K444" s="44"/>
      <c r="L444" s="46">
        <v>41822.0</v>
      </c>
      <c r="M444" s="4">
        <v>0.705676745953</v>
      </c>
      <c r="O444" t="str">
        <f t="shared" si="10"/>
        <v>2014-07</v>
      </c>
      <c r="Q444" s="36">
        <v>42663.0</v>
      </c>
      <c r="R444" s="4">
        <v>0.642931979269</v>
      </c>
      <c r="T444" t="str">
        <f t="shared" si="12"/>
        <v>2016-10</v>
      </c>
      <c r="AB444" s="36">
        <v>41058.0</v>
      </c>
      <c r="AC444" s="4">
        <v>0.755347276141</v>
      </c>
      <c r="AE444" t="str">
        <f t="shared" si="14"/>
        <v>2012-05</v>
      </c>
      <c r="AG444" s="36">
        <v>41995.0</v>
      </c>
      <c r="AH444" s="4">
        <v>0.531284259803</v>
      </c>
      <c r="AJ444" s="48" t="str">
        <f t="shared" si="16"/>
        <v>2014-12</v>
      </c>
      <c r="AL444" s="36">
        <v>41811.0</v>
      </c>
      <c r="AM444" s="4">
        <v>0.647185615808</v>
      </c>
      <c r="AO444" s="49" t="str">
        <f t="shared" si="18"/>
        <v>2014-06</v>
      </c>
    </row>
    <row r="445">
      <c r="A445" s="36">
        <v>41071.0</v>
      </c>
      <c r="B445" s="34">
        <v>0.694300147395</v>
      </c>
      <c r="C445" s="36">
        <v>42661.0</v>
      </c>
      <c r="D445" t="str">
        <f t="shared" si="6"/>
        <v>2012-06</v>
      </c>
      <c r="E445" s="44" t="str">
        <f t="shared" si="7"/>
        <v>2016-10</v>
      </c>
      <c r="F445" s="63"/>
      <c r="G445" s="36">
        <v>41455.0</v>
      </c>
      <c r="H445" s="34">
        <v>0.670478930385</v>
      </c>
      <c r="J445" t="str">
        <f t="shared" si="8"/>
        <v>2013-06</v>
      </c>
      <c r="K445" s="44"/>
      <c r="L445" s="46">
        <v>41823.0</v>
      </c>
      <c r="M445" s="4">
        <v>0.727478871825</v>
      </c>
      <c r="O445" t="str">
        <f t="shared" si="10"/>
        <v>2014-07</v>
      </c>
      <c r="Q445" s="36">
        <v>42664.0</v>
      </c>
      <c r="R445" s="4">
        <v>0.722170775639</v>
      </c>
      <c r="T445" t="str">
        <f t="shared" si="12"/>
        <v>2016-10</v>
      </c>
      <c r="AB445" s="36">
        <v>41059.0</v>
      </c>
      <c r="AC445" s="4">
        <v>0.735749244731</v>
      </c>
      <c r="AE445" t="str">
        <f t="shared" si="14"/>
        <v>2012-05</v>
      </c>
      <c r="AG445" s="36">
        <v>41996.0</v>
      </c>
      <c r="AH445" s="4">
        <v>0.619830824263</v>
      </c>
      <c r="AJ445" s="48" t="str">
        <f t="shared" si="16"/>
        <v>2014-12</v>
      </c>
      <c r="AL445" s="36">
        <v>41817.0</v>
      </c>
      <c r="AM445" s="4">
        <v>0.800723665469</v>
      </c>
      <c r="AO445" s="49" t="str">
        <f t="shared" si="18"/>
        <v>2014-06</v>
      </c>
    </row>
    <row r="446">
      <c r="A446" s="36">
        <v>41077.0</v>
      </c>
      <c r="B446" s="34">
        <v>0.659214568801</v>
      </c>
      <c r="C446" s="36">
        <v>42682.0</v>
      </c>
      <c r="D446" t="str">
        <f t="shared" si="6"/>
        <v>2012-06</v>
      </c>
      <c r="E446" s="44" t="str">
        <f t="shared" si="7"/>
        <v>2016-11</v>
      </c>
      <c r="F446" s="63"/>
      <c r="G446" s="36">
        <v>41456.0</v>
      </c>
      <c r="H446" s="34">
        <v>0.757913262645</v>
      </c>
      <c r="J446" t="str">
        <f t="shared" si="8"/>
        <v>2013-07</v>
      </c>
      <c r="K446" s="44"/>
      <c r="L446" s="46">
        <v>41829.0</v>
      </c>
      <c r="M446" s="4">
        <v>0.725820002343</v>
      </c>
      <c r="O446" t="str">
        <f t="shared" si="10"/>
        <v>2014-07</v>
      </c>
      <c r="Q446" s="36">
        <v>42670.0</v>
      </c>
      <c r="R446" s="4">
        <v>0.654486863497</v>
      </c>
      <c r="T446" t="str">
        <f t="shared" si="12"/>
        <v>2016-10</v>
      </c>
      <c r="AB446" s="36">
        <v>41065.0</v>
      </c>
      <c r="AC446" s="4">
        <v>0.715527049042</v>
      </c>
      <c r="AE446" t="str">
        <f t="shared" si="14"/>
        <v>2012-06</v>
      </c>
      <c r="AG446" s="36">
        <v>42002.0</v>
      </c>
      <c r="AH446" s="4">
        <v>0.602043136156</v>
      </c>
      <c r="AJ446" s="48" t="str">
        <f t="shared" si="16"/>
        <v>2014-12</v>
      </c>
      <c r="AL446" s="36">
        <v>41818.0</v>
      </c>
      <c r="AM446" s="4">
        <v>0.801418102257</v>
      </c>
      <c r="AO446" s="49" t="str">
        <f t="shared" si="18"/>
        <v>2014-06</v>
      </c>
    </row>
    <row r="447">
      <c r="A447" s="36">
        <v>41078.0</v>
      </c>
      <c r="B447" s="34">
        <v>0.595009391429</v>
      </c>
      <c r="C447" s="36">
        <v>42710.0</v>
      </c>
      <c r="D447" t="str">
        <f t="shared" si="6"/>
        <v>2012-06</v>
      </c>
      <c r="E447" s="44" t="str">
        <f t="shared" si="7"/>
        <v>2016-12</v>
      </c>
      <c r="F447" s="63"/>
      <c r="G447" s="36">
        <v>41462.0</v>
      </c>
      <c r="H447" s="34">
        <v>0.78500782834</v>
      </c>
      <c r="J447" t="str">
        <f t="shared" si="8"/>
        <v>2013-07</v>
      </c>
      <c r="K447" s="44"/>
      <c r="L447" s="46">
        <v>41830.0</v>
      </c>
      <c r="M447" s="4">
        <v>0.573117718882</v>
      </c>
      <c r="O447" t="str">
        <f t="shared" si="10"/>
        <v>2014-07</v>
      </c>
      <c r="Q447" s="36">
        <v>42671.0</v>
      </c>
      <c r="R447" s="4">
        <v>0.830257266932</v>
      </c>
      <c r="T447" t="str">
        <f t="shared" si="12"/>
        <v>2016-10</v>
      </c>
      <c r="AB447" s="36">
        <v>41072.0</v>
      </c>
      <c r="AC447" s="4">
        <v>0.691827403923</v>
      </c>
      <c r="AE447" t="str">
        <f t="shared" si="14"/>
        <v>2012-06</v>
      </c>
      <c r="AG447" s="36">
        <v>42003.0</v>
      </c>
      <c r="AH447" s="4">
        <v>0.618164888267</v>
      </c>
      <c r="AJ447" s="48" t="str">
        <f t="shared" si="16"/>
        <v>2014-12</v>
      </c>
      <c r="AL447" s="36">
        <v>41824.0</v>
      </c>
      <c r="AM447" s="4">
        <v>0.733584370401</v>
      </c>
      <c r="AO447" s="49" t="str">
        <f t="shared" si="18"/>
        <v>2014-07</v>
      </c>
    </row>
    <row r="448">
      <c r="A448" s="36">
        <v>41084.0</v>
      </c>
      <c r="B448" s="34">
        <v>0.7818892672</v>
      </c>
      <c r="C448" s="36">
        <v>42738.0</v>
      </c>
      <c r="D448" t="str">
        <f t="shared" si="6"/>
        <v>2012-06</v>
      </c>
      <c r="E448" s="44" t="str">
        <f t="shared" si="7"/>
        <v>2017-01</v>
      </c>
      <c r="F448" s="63"/>
      <c r="G448" s="36">
        <v>41463.0</v>
      </c>
      <c r="H448" s="34">
        <v>0.62059440177</v>
      </c>
      <c r="J448" t="str">
        <f t="shared" si="8"/>
        <v>2013-07</v>
      </c>
      <c r="K448" s="44"/>
      <c r="L448" s="46">
        <v>41836.0</v>
      </c>
      <c r="M448" s="4">
        <v>0.717158851258</v>
      </c>
      <c r="O448" t="str">
        <f t="shared" si="10"/>
        <v>2014-07</v>
      </c>
      <c r="Q448" s="36">
        <v>42677.0</v>
      </c>
      <c r="R448" s="4">
        <v>0.637519053728</v>
      </c>
      <c r="T448" t="str">
        <f t="shared" si="12"/>
        <v>2016-11</v>
      </c>
      <c r="AB448" s="36">
        <v>41073.0</v>
      </c>
      <c r="AC448" s="4">
        <v>0.852561997306</v>
      </c>
      <c r="AE448" t="str">
        <f t="shared" si="14"/>
        <v>2012-06</v>
      </c>
      <c r="AG448" s="36">
        <v>42009.0</v>
      </c>
      <c r="AH448" s="4">
        <v>0.664481456805</v>
      </c>
      <c r="AJ448" s="48" t="str">
        <f t="shared" si="16"/>
        <v>2015-01</v>
      </c>
      <c r="AL448" s="36">
        <v>41825.0</v>
      </c>
      <c r="AM448" s="4">
        <v>0.834076087505</v>
      </c>
      <c r="AO448" s="49" t="str">
        <f t="shared" si="18"/>
        <v>2014-07</v>
      </c>
    </row>
    <row r="449">
      <c r="A449" s="36">
        <v>41085.0</v>
      </c>
      <c r="B449" s="34">
        <v>0.721542300865</v>
      </c>
      <c r="C449" s="36">
        <v>42740.0</v>
      </c>
      <c r="D449" t="str">
        <f t="shared" si="6"/>
        <v>2012-06</v>
      </c>
      <c r="E449" s="44" t="str">
        <f t="shared" si="7"/>
        <v>2017-01</v>
      </c>
      <c r="F449" s="63"/>
      <c r="G449" s="36">
        <v>41469.0</v>
      </c>
      <c r="H449" s="34">
        <v>0.781377781521</v>
      </c>
      <c r="J449" t="str">
        <f t="shared" si="8"/>
        <v>2013-07</v>
      </c>
      <c r="K449" s="44"/>
      <c r="L449" s="46">
        <v>41837.0</v>
      </c>
      <c r="M449" s="4">
        <v>0.62721905387</v>
      </c>
      <c r="O449" t="str">
        <f t="shared" si="10"/>
        <v>2014-07</v>
      </c>
      <c r="Q449" s="36">
        <v>42678.0</v>
      </c>
      <c r="R449" s="4">
        <v>0.538173279855</v>
      </c>
      <c r="T449" t="str">
        <f t="shared" si="12"/>
        <v>2016-11</v>
      </c>
      <c r="AB449" s="36">
        <v>41079.0</v>
      </c>
      <c r="AC449" s="4">
        <v>0.622285927123</v>
      </c>
      <c r="AE449" t="str">
        <f t="shared" si="14"/>
        <v>2012-06</v>
      </c>
      <c r="AG449" s="36">
        <v>42010.0</v>
      </c>
      <c r="AH449" s="4">
        <v>0.64050788972</v>
      </c>
      <c r="AJ449" s="48" t="str">
        <f t="shared" si="16"/>
        <v>2015-01</v>
      </c>
      <c r="AL449" s="36">
        <v>41831.0</v>
      </c>
      <c r="AM449" s="4">
        <v>0.757510973155</v>
      </c>
      <c r="AO449" s="49" t="str">
        <f t="shared" si="18"/>
        <v>2014-07</v>
      </c>
    </row>
    <row r="450">
      <c r="A450" s="36">
        <v>41091.0</v>
      </c>
      <c r="B450" s="34">
        <v>0.594108744719</v>
      </c>
      <c r="C450" s="36">
        <v>42767.0</v>
      </c>
      <c r="D450" t="str">
        <f t="shared" si="6"/>
        <v>2012-07</v>
      </c>
      <c r="E450" s="44" t="str">
        <f t="shared" si="7"/>
        <v>2017-02</v>
      </c>
      <c r="F450" s="63"/>
      <c r="G450" s="36">
        <v>41470.0</v>
      </c>
      <c r="H450" s="34">
        <v>0.740952216248</v>
      </c>
      <c r="J450" t="str">
        <f t="shared" si="8"/>
        <v>2013-07</v>
      </c>
      <c r="K450" s="44"/>
      <c r="L450" s="46">
        <v>41843.0</v>
      </c>
      <c r="M450" s="4">
        <v>0.730759934584</v>
      </c>
      <c r="O450" t="str">
        <f t="shared" si="10"/>
        <v>2014-07</v>
      </c>
      <c r="Q450" s="36">
        <v>42684.0</v>
      </c>
      <c r="R450" s="4">
        <v>0.742018896428</v>
      </c>
      <c r="T450" t="str">
        <f t="shared" si="12"/>
        <v>2016-11</v>
      </c>
      <c r="AB450" s="36">
        <v>41080.0</v>
      </c>
      <c r="AC450" s="4">
        <v>0.586337997171</v>
      </c>
      <c r="AE450" t="str">
        <f t="shared" si="14"/>
        <v>2012-06</v>
      </c>
      <c r="AG450" s="36">
        <v>42016.0</v>
      </c>
      <c r="AH450" s="4">
        <v>0.734025747029</v>
      </c>
      <c r="AJ450" s="48" t="str">
        <f t="shared" si="16"/>
        <v>2015-01</v>
      </c>
      <c r="AL450" s="36">
        <v>41832.0</v>
      </c>
      <c r="AM450" s="4">
        <v>0.914013252665</v>
      </c>
      <c r="AO450" s="49" t="str">
        <f t="shared" si="18"/>
        <v>2014-07</v>
      </c>
    </row>
    <row r="451">
      <c r="A451" s="36">
        <v>41092.0</v>
      </c>
      <c r="B451" s="34">
        <v>0.42815713931</v>
      </c>
      <c r="C451" s="36">
        <v>42788.0</v>
      </c>
      <c r="D451" t="str">
        <f t="shared" si="6"/>
        <v>2012-07</v>
      </c>
      <c r="E451" s="44" t="str">
        <f t="shared" si="7"/>
        <v>2017-02</v>
      </c>
      <c r="F451" s="63"/>
      <c r="G451" s="36">
        <v>41476.0</v>
      </c>
      <c r="H451" s="34">
        <v>0.782528158524</v>
      </c>
      <c r="J451" t="str">
        <f t="shared" si="8"/>
        <v>2013-07</v>
      </c>
      <c r="K451" s="44"/>
      <c r="L451" s="46">
        <v>41844.0</v>
      </c>
      <c r="M451" s="4">
        <v>0.782139197262</v>
      </c>
      <c r="O451" t="str">
        <f t="shared" si="10"/>
        <v>2014-07</v>
      </c>
      <c r="Q451" s="36">
        <v>42685.0</v>
      </c>
      <c r="R451" s="4">
        <v>0.778396341341</v>
      </c>
      <c r="T451" t="str">
        <f t="shared" si="12"/>
        <v>2016-11</v>
      </c>
      <c r="AB451" s="36">
        <v>41086.0</v>
      </c>
      <c r="AC451" s="4">
        <v>0.707411420087</v>
      </c>
      <c r="AE451" t="str">
        <f t="shared" si="14"/>
        <v>2012-06</v>
      </c>
      <c r="AG451" s="36">
        <v>42017.0</v>
      </c>
      <c r="AH451" s="4">
        <v>0.634997907864</v>
      </c>
      <c r="AJ451" s="48" t="str">
        <f t="shared" si="16"/>
        <v>2015-01</v>
      </c>
      <c r="AL451" s="36">
        <v>41838.0</v>
      </c>
      <c r="AM451" s="4">
        <v>0.74534930424</v>
      </c>
      <c r="AO451" s="49" t="str">
        <f t="shared" si="18"/>
        <v>2014-07</v>
      </c>
    </row>
    <row r="452">
      <c r="A452" s="36">
        <v>41098.0</v>
      </c>
      <c r="B452" s="34">
        <v>0.679031270293</v>
      </c>
      <c r="C452" s="36">
        <v>42815.0</v>
      </c>
      <c r="D452" t="str">
        <f t="shared" si="6"/>
        <v>2012-07</v>
      </c>
      <c r="E452" s="44" t="str">
        <f t="shared" si="7"/>
        <v>2017-03</v>
      </c>
      <c r="F452" s="63"/>
      <c r="G452" s="36">
        <v>41477.0</v>
      </c>
      <c r="H452" s="34">
        <v>0.803981639523</v>
      </c>
      <c r="J452" t="str">
        <f t="shared" si="8"/>
        <v>2013-07</v>
      </c>
      <c r="K452" s="44"/>
      <c r="L452" s="46">
        <v>41850.0</v>
      </c>
      <c r="M452" s="4">
        <v>0.781396689367</v>
      </c>
      <c r="O452" t="str">
        <f t="shared" si="10"/>
        <v>2014-07</v>
      </c>
      <c r="Q452" s="36">
        <v>42691.0</v>
      </c>
      <c r="R452" s="4">
        <v>0.670781926512</v>
      </c>
      <c r="T452" t="str">
        <f t="shared" si="12"/>
        <v>2016-11</v>
      </c>
      <c r="AB452" s="36">
        <v>41087.0</v>
      </c>
      <c r="AC452" s="4">
        <v>0.675017011533</v>
      </c>
      <c r="AE452" t="str">
        <f t="shared" si="14"/>
        <v>2012-06</v>
      </c>
      <c r="AG452" s="36">
        <v>42023.0</v>
      </c>
      <c r="AH452" s="4">
        <v>0.735230616278</v>
      </c>
      <c r="AJ452" s="48" t="str">
        <f t="shared" si="16"/>
        <v>2015-01</v>
      </c>
      <c r="AL452" s="36">
        <v>41839.0</v>
      </c>
      <c r="AM452" s="4">
        <v>0.817560044522</v>
      </c>
      <c r="AO452" s="49" t="str">
        <f t="shared" si="18"/>
        <v>2014-07</v>
      </c>
    </row>
    <row r="453">
      <c r="A453" s="36">
        <v>41099.0</v>
      </c>
      <c r="B453" s="34">
        <v>0.471712874557</v>
      </c>
      <c r="C453" s="36">
        <v>42829.0</v>
      </c>
      <c r="D453" t="str">
        <f t="shared" si="6"/>
        <v>2012-07</v>
      </c>
      <c r="E453" s="44" t="str">
        <f t="shared" si="7"/>
        <v>2017-04</v>
      </c>
      <c r="F453" s="63"/>
      <c r="G453" s="36">
        <v>41483.0</v>
      </c>
      <c r="H453" s="34">
        <v>0.776985197924</v>
      </c>
      <c r="J453" t="str">
        <f t="shared" si="8"/>
        <v>2013-07</v>
      </c>
      <c r="K453" s="44"/>
      <c r="L453" s="46">
        <v>41851.0</v>
      </c>
      <c r="M453" s="4">
        <v>0.744438731392</v>
      </c>
      <c r="O453" t="str">
        <f t="shared" si="10"/>
        <v>2014-07</v>
      </c>
      <c r="Q453" s="36">
        <v>42692.0</v>
      </c>
      <c r="R453" s="4">
        <v>0.78190930717</v>
      </c>
      <c r="T453" t="str">
        <f t="shared" si="12"/>
        <v>2016-11</v>
      </c>
      <c r="AB453" s="36">
        <v>41093.0</v>
      </c>
      <c r="AC453" s="4">
        <v>0.701000968037</v>
      </c>
      <c r="AE453" t="str">
        <f t="shared" si="14"/>
        <v>2012-07</v>
      </c>
      <c r="AG453" s="36">
        <v>42024.0</v>
      </c>
      <c r="AH453" s="4">
        <v>0.733201536374</v>
      </c>
      <c r="AJ453" s="48" t="str">
        <f t="shared" si="16"/>
        <v>2015-01</v>
      </c>
      <c r="AL453" s="36">
        <v>41845.0</v>
      </c>
      <c r="AM453" s="4">
        <v>0.688475453509</v>
      </c>
      <c r="AO453" s="49" t="str">
        <f t="shared" si="18"/>
        <v>2014-07</v>
      </c>
    </row>
    <row r="454">
      <c r="A454" s="36">
        <v>41105.0</v>
      </c>
      <c r="B454" s="34">
        <v>0.679371382543</v>
      </c>
      <c r="C454" s="36">
        <v>42857.0</v>
      </c>
      <c r="D454" t="str">
        <f t="shared" si="6"/>
        <v>2012-07</v>
      </c>
      <c r="E454" s="44" t="str">
        <f t="shared" si="7"/>
        <v>2017-05</v>
      </c>
      <c r="F454" s="63"/>
      <c r="G454" s="36">
        <v>41484.0</v>
      </c>
      <c r="H454" s="34">
        <v>0.674565477691</v>
      </c>
      <c r="J454" t="str">
        <f t="shared" si="8"/>
        <v>2013-07</v>
      </c>
      <c r="K454" s="44"/>
      <c r="L454" s="46">
        <v>41857.0</v>
      </c>
      <c r="M454" s="4">
        <v>0.79667558087</v>
      </c>
      <c r="O454" t="str">
        <f t="shared" si="10"/>
        <v>2014-08</v>
      </c>
      <c r="Q454" s="36">
        <v>42698.0</v>
      </c>
      <c r="R454" s="4">
        <v>0.727346890209</v>
      </c>
      <c r="T454" t="str">
        <f t="shared" si="12"/>
        <v>2016-11</v>
      </c>
      <c r="AB454" s="36">
        <v>41094.0</v>
      </c>
      <c r="AC454" s="4">
        <v>0.895452437429</v>
      </c>
      <c r="AE454" t="str">
        <f t="shared" si="14"/>
        <v>2012-07</v>
      </c>
      <c r="AG454" s="36">
        <v>42030.0</v>
      </c>
      <c r="AH454" s="4">
        <v>0.686751224525</v>
      </c>
      <c r="AJ454" s="48" t="str">
        <f t="shared" si="16"/>
        <v>2015-01</v>
      </c>
      <c r="AL454" s="36">
        <v>41846.0</v>
      </c>
      <c r="AM454" s="4">
        <v>0.628005847964</v>
      </c>
      <c r="AO454" s="49" t="str">
        <f t="shared" si="18"/>
        <v>2014-07</v>
      </c>
    </row>
    <row r="455">
      <c r="A455" s="36">
        <v>41106.0</v>
      </c>
      <c r="B455" s="34">
        <v>0.607363626125</v>
      </c>
      <c r="C455" s="36">
        <v>42927.0</v>
      </c>
      <c r="D455" t="str">
        <f t="shared" si="6"/>
        <v>2012-07</v>
      </c>
      <c r="E455" s="44" t="str">
        <f t="shared" si="7"/>
        <v>2017-07</v>
      </c>
      <c r="F455" s="63"/>
      <c r="G455" s="36">
        <v>41490.0</v>
      </c>
      <c r="H455" s="34">
        <v>0.748980056905</v>
      </c>
      <c r="J455" t="str">
        <f t="shared" si="8"/>
        <v>2013-08</v>
      </c>
      <c r="K455" s="44"/>
      <c r="L455" s="46">
        <v>41858.0</v>
      </c>
      <c r="M455" s="4">
        <v>0.787967688507</v>
      </c>
      <c r="O455" t="str">
        <f t="shared" si="10"/>
        <v>2014-08</v>
      </c>
      <c r="Q455" s="36">
        <v>42699.0</v>
      </c>
      <c r="R455" s="4">
        <v>0.699496846579</v>
      </c>
      <c r="T455" t="str">
        <f t="shared" si="12"/>
        <v>2016-11</v>
      </c>
      <c r="AB455" s="36">
        <v>41100.0</v>
      </c>
      <c r="AC455" s="4">
        <v>0.74225775406</v>
      </c>
      <c r="AE455" t="str">
        <f t="shared" si="14"/>
        <v>2012-07</v>
      </c>
      <c r="AG455" s="36">
        <v>42031.0</v>
      </c>
      <c r="AH455" s="4">
        <v>0.66583720268</v>
      </c>
      <c r="AJ455" s="48" t="str">
        <f t="shared" si="16"/>
        <v>2015-01</v>
      </c>
      <c r="AL455" s="36">
        <v>41852.0</v>
      </c>
      <c r="AM455" s="4">
        <v>0.714132514482</v>
      </c>
      <c r="AO455" s="49" t="str">
        <f t="shared" si="18"/>
        <v>2014-08</v>
      </c>
    </row>
    <row r="456">
      <c r="A456" s="36">
        <v>41112.0</v>
      </c>
      <c r="B456" s="34">
        <v>0.721736338018</v>
      </c>
      <c r="C456" s="36">
        <v>42304.0</v>
      </c>
      <c r="D456" t="str">
        <f t="shared" si="6"/>
        <v>2012-07</v>
      </c>
      <c r="E456" s="44" t="str">
        <f t="shared" si="7"/>
        <v>2015-10</v>
      </c>
      <c r="F456" s="63"/>
      <c r="G456" s="36">
        <v>41491.0</v>
      </c>
      <c r="H456" s="34">
        <v>0.873602224143</v>
      </c>
      <c r="J456" t="str">
        <f t="shared" si="8"/>
        <v>2013-08</v>
      </c>
      <c r="K456" s="44"/>
      <c r="L456" s="46">
        <v>41864.0</v>
      </c>
      <c r="M456" s="4">
        <v>0.603327583149</v>
      </c>
      <c r="O456" t="str">
        <f t="shared" si="10"/>
        <v>2014-08</v>
      </c>
      <c r="Q456" s="36">
        <v>42705.0</v>
      </c>
      <c r="R456" s="4">
        <v>0.682533263828</v>
      </c>
      <c r="T456" t="str">
        <f t="shared" si="12"/>
        <v>2016-12</v>
      </c>
      <c r="AB456" s="36">
        <v>41101.0</v>
      </c>
      <c r="AC456" s="4">
        <v>0.790542720892</v>
      </c>
      <c r="AE456" t="str">
        <f t="shared" si="14"/>
        <v>2012-07</v>
      </c>
      <c r="AG456" s="36">
        <v>42037.0</v>
      </c>
      <c r="AH456" s="4">
        <v>0.64403858599</v>
      </c>
      <c r="AJ456" s="48" t="str">
        <f t="shared" si="16"/>
        <v>2015-02</v>
      </c>
      <c r="AL456" s="36">
        <v>41853.0</v>
      </c>
      <c r="AM456" s="4">
        <v>0.392751328408</v>
      </c>
      <c r="AO456" s="49" t="str">
        <f t="shared" si="18"/>
        <v>2014-08</v>
      </c>
    </row>
    <row r="457">
      <c r="A457" s="36">
        <v>41113.0</v>
      </c>
      <c r="B457" s="34">
        <v>0.567145803599</v>
      </c>
      <c r="C457" s="36">
        <v>42306.0</v>
      </c>
      <c r="D457" t="str">
        <f t="shared" si="6"/>
        <v>2012-07</v>
      </c>
      <c r="E457" s="44" t="str">
        <f t="shared" si="7"/>
        <v>2015-10</v>
      </c>
      <c r="F457" s="63"/>
      <c r="G457" s="36">
        <v>41497.0</v>
      </c>
      <c r="H457" s="34">
        <v>0.75688226258</v>
      </c>
      <c r="J457" t="str">
        <f t="shared" si="8"/>
        <v>2013-08</v>
      </c>
      <c r="K457" s="44"/>
      <c r="L457" s="46">
        <v>41865.0</v>
      </c>
      <c r="M457" s="4">
        <v>0.807198363198</v>
      </c>
      <c r="O457" t="str">
        <f t="shared" si="10"/>
        <v>2014-08</v>
      </c>
      <c r="Q457" s="36">
        <v>42706.0</v>
      </c>
      <c r="R457" s="4">
        <v>0.858642313047</v>
      </c>
      <c r="T457" t="str">
        <f t="shared" si="12"/>
        <v>2016-12</v>
      </c>
      <c r="AB457" s="36">
        <v>41107.0</v>
      </c>
      <c r="AC457" s="4">
        <v>0.763523775675</v>
      </c>
      <c r="AE457" t="str">
        <f t="shared" si="14"/>
        <v>2012-07</v>
      </c>
      <c r="AG457" s="36">
        <v>42038.0</v>
      </c>
      <c r="AH457" s="4">
        <v>0.636667505958</v>
      </c>
      <c r="AJ457" s="48" t="str">
        <f t="shared" si="16"/>
        <v>2015-02</v>
      </c>
      <c r="AL457" s="36">
        <v>41859.0</v>
      </c>
      <c r="AM457" s="4">
        <v>0.722669408098</v>
      </c>
      <c r="AO457" s="49" t="str">
        <f t="shared" si="18"/>
        <v>2014-08</v>
      </c>
    </row>
    <row r="458">
      <c r="A458" s="36">
        <v>41119.0</v>
      </c>
      <c r="B458" s="34">
        <v>0.696148973144</v>
      </c>
      <c r="C458" s="36">
        <v>42306.0</v>
      </c>
      <c r="D458" t="str">
        <f t="shared" si="6"/>
        <v>2012-07</v>
      </c>
      <c r="E458" s="44" t="str">
        <f t="shared" si="7"/>
        <v>2015-10</v>
      </c>
      <c r="F458" s="63"/>
      <c r="G458" s="36">
        <v>41498.0</v>
      </c>
      <c r="H458" s="34">
        <v>0.7349993366</v>
      </c>
      <c r="J458" t="str">
        <f t="shared" si="8"/>
        <v>2013-08</v>
      </c>
      <c r="K458" s="44"/>
      <c r="L458" s="46">
        <v>41871.0</v>
      </c>
      <c r="M458" s="4">
        <v>0.775510256791</v>
      </c>
      <c r="O458" t="str">
        <f t="shared" si="10"/>
        <v>2014-08</v>
      </c>
      <c r="Q458" s="36">
        <v>42712.0</v>
      </c>
      <c r="R458" s="4">
        <v>0.650048040352</v>
      </c>
      <c r="T458" t="str">
        <f t="shared" si="12"/>
        <v>2016-12</v>
      </c>
      <c r="AB458" s="36">
        <v>41114.0</v>
      </c>
      <c r="AC458" s="4">
        <v>0.70462933587</v>
      </c>
      <c r="AE458" t="str">
        <f t="shared" si="14"/>
        <v>2012-07</v>
      </c>
      <c r="AG458" s="36">
        <v>42044.0</v>
      </c>
      <c r="AH458" s="4">
        <v>0.705514687746</v>
      </c>
      <c r="AJ458" s="48" t="str">
        <f t="shared" si="16"/>
        <v>2015-02</v>
      </c>
      <c r="AL458" s="36">
        <v>41860.0</v>
      </c>
      <c r="AM458" s="4">
        <v>0.567499784376</v>
      </c>
      <c r="AO458" s="49" t="str">
        <f t="shared" si="18"/>
        <v>2014-08</v>
      </c>
    </row>
    <row r="459">
      <c r="A459" s="36">
        <v>41120.0</v>
      </c>
      <c r="B459" s="34">
        <v>0.599340009341</v>
      </c>
      <c r="C459" s="36">
        <v>42325.0</v>
      </c>
      <c r="D459" t="str">
        <f t="shared" si="6"/>
        <v>2012-07</v>
      </c>
      <c r="E459" s="44" t="str">
        <f t="shared" si="7"/>
        <v>2015-11</v>
      </c>
      <c r="F459" s="63"/>
      <c r="G459" s="36">
        <v>41504.0</v>
      </c>
      <c r="H459" s="34">
        <v>0.713215309513</v>
      </c>
      <c r="J459" t="str">
        <f t="shared" si="8"/>
        <v>2013-08</v>
      </c>
      <c r="K459" s="44"/>
      <c r="L459" s="46">
        <v>41872.0</v>
      </c>
      <c r="M459" s="4">
        <v>0.793091999352</v>
      </c>
      <c r="O459" t="str">
        <f t="shared" si="10"/>
        <v>2014-08</v>
      </c>
      <c r="Q459" s="36">
        <v>42713.0</v>
      </c>
      <c r="R459" s="4">
        <v>0.447606263303</v>
      </c>
      <c r="T459" t="str">
        <f t="shared" si="12"/>
        <v>2016-12</v>
      </c>
      <c r="AB459" s="36">
        <v>41115.0</v>
      </c>
      <c r="AC459" s="4">
        <v>0.755291776065</v>
      </c>
      <c r="AE459" t="str">
        <f t="shared" si="14"/>
        <v>2012-07</v>
      </c>
      <c r="AG459" s="36">
        <v>42045.0</v>
      </c>
      <c r="AH459" s="4">
        <v>0.722991370409</v>
      </c>
      <c r="AJ459" s="48" t="str">
        <f t="shared" si="16"/>
        <v>2015-02</v>
      </c>
      <c r="AL459" s="36">
        <v>41866.0</v>
      </c>
      <c r="AM459" s="4">
        <v>0.685050538229</v>
      </c>
      <c r="AO459" s="49" t="str">
        <f t="shared" si="18"/>
        <v>2014-08</v>
      </c>
    </row>
    <row r="460">
      <c r="A460" s="36">
        <v>41126.0</v>
      </c>
      <c r="B460" s="34">
        <v>0.687395952721</v>
      </c>
      <c r="C460" s="36">
        <v>42342.0</v>
      </c>
      <c r="D460" t="str">
        <f t="shared" si="6"/>
        <v>2012-08</v>
      </c>
      <c r="E460" s="44" t="str">
        <f t="shared" si="7"/>
        <v>2015-12</v>
      </c>
      <c r="F460" s="63"/>
      <c r="G460" s="36">
        <v>41505.0</v>
      </c>
      <c r="H460" s="34">
        <v>0.759923041183</v>
      </c>
      <c r="J460" t="str">
        <f t="shared" si="8"/>
        <v>2013-08</v>
      </c>
      <c r="K460" s="44"/>
      <c r="L460" s="46">
        <v>41878.0</v>
      </c>
      <c r="M460" s="4">
        <v>0.716175117345</v>
      </c>
      <c r="O460" t="str">
        <f t="shared" si="10"/>
        <v>2014-08</v>
      </c>
      <c r="Q460" s="36">
        <v>42719.0</v>
      </c>
      <c r="R460" s="4">
        <v>0.742442713787</v>
      </c>
      <c r="T460" t="str">
        <f t="shared" si="12"/>
        <v>2016-12</v>
      </c>
      <c r="AB460" s="36">
        <v>41121.0</v>
      </c>
      <c r="AC460" s="4">
        <v>0.725598471409</v>
      </c>
      <c r="AE460" t="str">
        <f t="shared" si="14"/>
        <v>2012-07</v>
      </c>
      <c r="AG460" s="36">
        <v>42051.0</v>
      </c>
      <c r="AH460" s="4">
        <v>0.718147117199</v>
      </c>
      <c r="AJ460" s="48" t="str">
        <f t="shared" si="16"/>
        <v>2015-02</v>
      </c>
      <c r="AL460" s="36">
        <v>41867.0</v>
      </c>
      <c r="AM460" s="4">
        <v>0.683014146303</v>
      </c>
      <c r="AO460" s="49" t="str">
        <f t="shared" si="18"/>
        <v>2014-08</v>
      </c>
    </row>
    <row r="461">
      <c r="A461" s="36">
        <v>41127.0</v>
      </c>
      <c r="B461" s="34">
        <v>0.674726458456</v>
      </c>
      <c r="C461" s="36">
        <v>42347.0</v>
      </c>
      <c r="D461" t="str">
        <f t="shared" si="6"/>
        <v>2012-08</v>
      </c>
      <c r="E461" s="44" t="str">
        <f t="shared" si="7"/>
        <v>2015-12</v>
      </c>
      <c r="F461" s="63"/>
      <c r="G461" s="36">
        <v>41511.0</v>
      </c>
      <c r="H461" s="34">
        <v>0.61681867649</v>
      </c>
      <c r="J461" t="str">
        <f t="shared" si="8"/>
        <v>2013-08</v>
      </c>
      <c r="K461" s="44"/>
      <c r="L461" s="46">
        <v>41879.0</v>
      </c>
      <c r="M461" s="4">
        <v>0.666240124389</v>
      </c>
      <c r="O461" t="str">
        <f t="shared" si="10"/>
        <v>2014-08</v>
      </c>
      <c r="Q461" s="36">
        <v>42720.0</v>
      </c>
      <c r="R461" s="4">
        <v>0.883323004722</v>
      </c>
      <c r="T461" t="str">
        <f t="shared" si="12"/>
        <v>2016-12</v>
      </c>
      <c r="AB461" s="36">
        <v>41122.0</v>
      </c>
      <c r="AC461" s="4">
        <v>0.715586701489</v>
      </c>
      <c r="AE461" t="str">
        <f t="shared" si="14"/>
        <v>2012-08</v>
      </c>
      <c r="AG461" s="36">
        <v>42052.0</v>
      </c>
      <c r="AH461" s="4">
        <v>0.78623586697</v>
      </c>
      <c r="AJ461" s="48" t="str">
        <f t="shared" si="16"/>
        <v>2015-02</v>
      </c>
      <c r="AL461" s="36">
        <v>41873.0</v>
      </c>
      <c r="AM461" s="4">
        <v>0.705778324097</v>
      </c>
      <c r="AO461" s="49" t="str">
        <f t="shared" si="18"/>
        <v>2014-08</v>
      </c>
    </row>
    <row r="462">
      <c r="A462" s="36">
        <v>41133.0</v>
      </c>
      <c r="B462" s="34">
        <v>0.653756265259</v>
      </c>
      <c r="C462" s="36">
        <v>42354.0</v>
      </c>
      <c r="D462" t="str">
        <f t="shared" si="6"/>
        <v>2012-08</v>
      </c>
      <c r="E462" s="44" t="str">
        <f t="shared" si="7"/>
        <v>2015-12</v>
      </c>
      <c r="F462" s="63"/>
      <c r="G462" s="36">
        <v>41512.0</v>
      </c>
      <c r="H462" s="34">
        <v>0.719333201098</v>
      </c>
      <c r="J462" t="str">
        <f t="shared" si="8"/>
        <v>2013-08</v>
      </c>
      <c r="K462" s="44"/>
      <c r="L462" s="46">
        <v>41885.0</v>
      </c>
      <c r="M462" s="4">
        <v>0.741963917917</v>
      </c>
      <c r="O462" t="str">
        <f t="shared" si="10"/>
        <v>2014-09</v>
      </c>
      <c r="Q462" s="36">
        <v>42726.0</v>
      </c>
      <c r="R462" s="4">
        <v>0.698677864604</v>
      </c>
      <c r="T462" t="str">
        <f t="shared" si="12"/>
        <v>2016-12</v>
      </c>
      <c r="AB462" s="36">
        <v>41128.0</v>
      </c>
      <c r="AC462" s="4">
        <v>0.734860100414</v>
      </c>
      <c r="AE462" t="str">
        <f t="shared" si="14"/>
        <v>2012-08</v>
      </c>
      <c r="AG462" s="36">
        <v>42058.0</v>
      </c>
      <c r="AH462" s="4">
        <v>0.694291592047</v>
      </c>
      <c r="AJ462" s="48" t="str">
        <f t="shared" si="16"/>
        <v>2015-02</v>
      </c>
      <c r="AL462" s="36">
        <v>41874.0</v>
      </c>
      <c r="AM462" s="4">
        <v>0.609033945326</v>
      </c>
      <c r="AO462" s="49" t="str">
        <f t="shared" si="18"/>
        <v>2014-08</v>
      </c>
    </row>
    <row r="463">
      <c r="A463" s="36">
        <v>41134.0</v>
      </c>
      <c r="B463" s="34">
        <v>0.694396183202</v>
      </c>
      <c r="C463" s="36">
        <v>42375.0</v>
      </c>
      <c r="D463" t="str">
        <f t="shared" si="6"/>
        <v>2012-08</v>
      </c>
      <c r="E463" s="44" t="str">
        <f t="shared" si="7"/>
        <v>2016-01</v>
      </c>
      <c r="F463" s="63"/>
      <c r="G463" s="36">
        <v>41518.0</v>
      </c>
      <c r="H463" s="34">
        <v>0.665839799331</v>
      </c>
      <c r="J463" t="str">
        <f t="shared" si="8"/>
        <v>2013-09</v>
      </c>
      <c r="K463" s="44"/>
      <c r="L463" s="46">
        <v>41886.0</v>
      </c>
      <c r="M463" s="4">
        <v>0.745492312064</v>
      </c>
      <c r="O463" t="str">
        <f t="shared" si="10"/>
        <v>2014-09</v>
      </c>
      <c r="Q463" s="36">
        <v>42727.0</v>
      </c>
      <c r="R463" s="4">
        <v>0.78584530133</v>
      </c>
      <c r="T463" t="str">
        <f t="shared" si="12"/>
        <v>2016-12</v>
      </c>
      <c r="AB463" s="36">
        <v>41129.0</v>
      </c>
      <c r="AC463" s="4">
        <v>0.827895745248</v>
      </c>
      <c r="AE463" t="str">
        <f t="shared" si="14"/>
        <v>2012-08</v>
      </c>
      <c r="AG463" s="36">
        <v>42059.0</v>
      </c>
      <c r="AH463" s="4">
        <v>0.785441369953</v>
      </c>
      <c r="AJ463" s="48" t="str">
        <f t="shared" si="16"/>
        <v>2015-02</v>
      </c>
      <c r="AL463" s="36">
        <v>41880.0</v>
      </c>
      <c r="AM463" s="4">
        <v>0.687570441599</v>
      </c>
      <c r="AO463" s="49" t="str">
        <f t="shared" si="18"/>
        <v>2014-08</v>
      </c>
    </row>
    <row r="464">
      <c r="A464" s="36">
        <v>41140.0</v>
      </c>
      <c r="B464" s="34">
        <v>0.681993305709</v>
      </c>
      <c r="C464" s="36">
        <v>42381.0</v>
      </c>
      <c r="D464" t="str">
        <f t="shared" si="6"/>
        <v>2012-08</v>
      </c>
      <c r="E464" s="44" t="str">
        <f t="shared" si="7"/>
        <v>2016-01</v>
      </c>
      <c r="F464" s="63"/>
      <c r="G464" s="36">
        <v>41519.0</v>
      </c>
      <c r="H464" s="34">
        <v>0.67055061883</v>
      </c>
      <c r="J464" t="str">
        <f t="shared" si="8"/>
        <v>2013-09</v>
      </c>
      <c r="K464" s="44"/>
      <c r="L464" s="46">
        <v>41892.0</v>
      </c>
      <c r="M464" s="4">
        <v>0.78522839157</v>
      </c>
      <c r="O464" t="str">
        <f t="shared" si="10"/>
        <v>2014-09</v>
      </c>
      <c r="Q464" s="36">
        <v>42733.0</v>
      </c>
      <c r="R464" s="4">
        <v>0.706390644018</v>
      </c>
      <c r="T464" t="str">
        <f t="shared" si="12"/>
        <v>2016-12</v>
      </c>
      <c r="AB464" s="36">
        <v>41135.0</v>
      </c>
      <c r="AC464" s="4">
        <v>0.722816112949</v>
      </c>
      <c r="AE464" t="str">
        <f t="shared" si="14"/>
        <v>2012-08</v>
      </c>
      <c r="AG464" s="36">
        <v>42065.0</v>
      </c>
      <c r="AH464" s="4">
        <v>0.687349205011</v>
      </c>
      <c r="AJ464" s="48" t="str">
        <f t="shared" si="16"/>
        <v>2015-03</v>
      </c>
      <c r="AL464" s="36">
        <v>41881.0</v>
      </c>
      <c r="AM464" s="4">
        <v>0.742054054293</v>
      </c>
      <c r="AO464" s="49" t="str">
        <f t="shared" si="18"/>
        <v>2014-08</v>
      </c>
    </row>
    <row r="465">
      <c r="A465" s="36">
        <v>41141.0</v>
      </c>
      <c r="B465" s="34">
        <v>0.540107530214</v>
      </c>
      <c r="C465" s="36">
        <v>42390.0</v>
      </c>
      <c r="D465" t="str">
        <f t="shared" si="6"/>
        <v>2012-08</v>
      </c>
      <c r="E465" s="44" t="str">
        <f t="shared" si="7"/>
        <v>2016-01</v>
      </c>
      <c r="F465" s="63"/>
      <c r="G465" s="36">
        <v>41525.0</v>
      </c>
      <c r="H465" s="34">
        <v>0.750427863684</v>
      </c>
      <c r="J465" t="str">
        <f t="shared" si="8"/>
        <v>2013-09</v>
      </c>
      <c r="K465" s="44"/>
      <c r="L465" s="46">
        <v>41893.0</v>
      </c>
      <c r="M465" s="4">
        <v>0.743450196496</v>
      </c>
      <c r="O465" t="str">
        <f t="shared" si="10"/>
        <v>2014-09</v>
      </c>
      <c r="Q465" s="36">
        <v>42734.0</v>
      </c>
      <c r="R465" s="4">
        <v>0.874128397349</v>
      </c>
      <c r="T465" t="str">
        <f t="shared" si="12"/>
        <v>2016-12</v>
      </c>
      <c r="AB465" s="36">
        <v>41136.0</v>
      </c>
      <c r="AC465" s="4">
        <v>0.607543201967</v>
      </c>
      <c r="AE465" t="str">
        <f t="shared" si="14"/>
        <v>2012-08</v>
      </c>
      <c r="AG465" s="36">
        <v>42066.0</v>
      </c>
      <c r="AH465" s="4">
        <v>0.693611752717</v>
      </c>
      <c r="AJ465" s="48" t="str">
        <f t="shared" si="16"/>
        <v>2015-03</v>
      </c>
      <c r="AL465" s="36">
        <v>41887.0</v>
      </c>
      <c r="AM465" s="4">
        <v>0.716660856103</v>
      </c>
      <c r="AO465" s="49" t="str">
        <f t="shared" si="18"/>
        <v>2014-09</v>
      </c>
    </row>
    <row r="466">
      <c r="A466" s="36">
        <v>41147.0</v>
      </c>
      <c r="B466" s="34">
        <v>0.694023515455</v>
      </c>
      <c r="C466" s="36">
        <v>42409.0</v>
      </c>
      <c r="D466" t="str">
        <f t="shared" si="6"/>
        <v>2012-08</v>
      </c>
      <c r="E466" s="44" t="str">
        <f t="shared" si="7"/>
        <v>2016-02</v>
      </c>
      <c r="F466" s="63"/>
      <c r="G466" s="36">
        <v>41526.0</v>
      </c>
      <c r="H466" s="34">
        <v>0.641699982074</v>
      </c>
      <c r="J466" t="str">
        <f t="shared" si="8"/>
        <v>2013-09</v>
      </c>
      <c r="K466" s="44"/>
      <c r="L466" s="46">
        <v>41899.0</v>
      </c>
      <c r="M466" s="4">
        <v>0.726639710199</v>
      </c>
      <c r="O466" t="str">
        <f t="shared" si="10"/>
        <v>2014-09</v>
      </c>
      <c r="Q466" s="36">
        <v>42740.0</v>
      </c>
      <c r="R466" s="4">
        <v>0.738340586843</v>
      </c>
      <c r="T466" t="str">
        <f t="shared" si="12"/>
        <v>2017-01</v>
      </c>
      <c r="AB466" s="36">
        <v>41142.0</v>
      </c>
      <c r="AC466" s="4">
        <v>0.736070232242</v>
      </c>
      <c r="AE466" t="str">
        <f t="shared" si="14"/>
        <v>2012-08</v>
      </c>
      <c r="AG466" s="36">
        <v>42072.0</v>
      </c>
      <c r="AH466" s="4">
        <v>0.720846014692</v>
      </c>
      <c r="AJ466" s="48" t="str">
        <f t="shared" si="16"/>
        <v>2015-03</v>
      </c>
      <c r="AL466" s="36">
        <v>41888.0</v>
      </c>
      <c r="AM466" s="4">
        <v>0.735990861391</v>
      </c>
      <c r="AO466" s="49" t="str">
        <f t="shared" si="18"/>
        <v>2014-09</v>
      </c>
    </row>
    <row r="467">
      <c r="A467" s="36">
        <v>41148.0</v>
      </c>
      <c r="B467" s="34">
        <v>0.605135960912</v>
      </c>
      <c r="C467" s="36">
        <v>42423.0</v>
      </c>
      <c r="D467" t="str">
        <f t="shared" si="6"/>
        <v>2012-08</v>
      </c>
      <c r="E467" s="44" t="str">
        <f t="shared" si="7"/>
        <v>2016-02</v>
      </c>
      <c r="F467" s="63"/>
      <c r="G467" s="36">
        <v>41532.0</v>
      </c>
      <c r="H467" s="34">
        <v>0.737694917453</v>
      </c>
      <c r="J467" t="str">
        <f t="shared" si="8"/>
        <v>2013-09</v>
      </c>
      <c r="K467" s="44"/>
      <c r="L467" s="46">
        <v>41900.0</v>
      </c>
      <c r="M467" s="4">
        <v>0.599733013184</v>
      </c>
      <c r="O467" t="str">
        <f t="shared" si="10"/>
        <v>2014-09</v>
      </c>
      <c r="Q467" s="36">
        <v>42741.0</v>
      </c>
      <c r="R467" s="4">
        <v>0.846339551279</v>
      </c>
      <c r="T467" t="str">
        <f t="shared" si="12"/>
        <v>2017-01</v>
      </c>
      <c r="AB467" s="36">
        <v>41143.0</v>
      </c>
      <c r="AC467" s="4">
        <v>0.766236698875</v>
      </c>
      <c r="AE467" t="str">
        <f t="shared" si="14"/>
        <v>2012-08</v>
      </c>
      <c r="AG467" s="36">
        <v>42073.0</v>
      </c>
      <c r="AH467" s="4">
        <v>0.665997762706</v>
      </c>
      <c r="AJ467" s="48" t="str">
        <f t="shared" si="16"/>
        <v>2015-03</v>
      </c>
      <c r="AL467" s="36">
        <v>41894.0</v>
      </c>
      <c r="AM467" s="4">
        <v>0.778155697031</v>
      </c>
      <c r="AO467" s="49" t="str">
        <f t="shared" si="18"/>
        <v>2014-09</v>
      </c>
    </row>
    <row r="468">
      <c r="A468" s="36">
        <v>41154.0</v>
      </c>
      <c r="B468" s="34">
        <v>0.722278889709</v>
      </c>
      <c r="C468" s="36">
        <v>42431.0</v>
      </c>
      <c r="D468" t="str">
        <f t="shared" si="6"/>
        <v>2012-09</v>
      </c>
      <c r="E468" s="44" t="str">
        <f t="shared" si="7"/>
        <v>2016-03</v>
      </c>
      <c r="F468" s="63"/>
      <c r="G468" s="36">
        <v>41533.0</v>
      </c>
      <c r="H468" s="34">
        <v>0.75581828961</v>
      </c>
      <c r="J468" t="str">
        <f t="shared" si="8"/>
        <v>2013-09</v>
      </c>
      <c r="K468" s="44"/>
      <c r="L468" s="46">
        <v>41906.0</v>
      </c>
      <c r="M468" s="4">
        <v>0.726571303361</v>
      </c>
      <c r="O468" t="str">
        <f t="shared" si="10"/>
        <v>2014-09</v>
      </c>
      <c r="Q468" s="36">
        <v>42747.0</v>
      </c>
      <c r="R468" s="4">
        <v>0.744996707512</v>
      </c>
      <c r="T468" t="str">
        <f t="shared" si="12"/>
        <v>2017-01</v>
      </c>
      <c r="AB468" s="36">
        <v>41149.0</v>
      </c>
      <c r="AC468" s="4">
        <v>0.678840852798</v>
      </c>
      <c r="AE468" t="str">
        <f t="shared" si="14"/>
        <v>2012-08</v>
      </c>
      <c r="AG468" s="36">
        <v>42079.0</v>
      </c>
      <c r="AH468" s="4">
        <v>0.798158077848</v>
      </c>
      <c r="AJ468" s="48" t="str">
        <f t="shared" si="16"/>
        <v>2015-03</v>
      </c>
      <c r="AL468" s="36">
        <v>41895.0</v>
      </c>
      <c r="AM468" s="4">
        <v>0.778951985502</v>
      </c>
      <c r="AO468" s="49" t="str">
        <f t="shared" si="18"/>
        <v>2014-09</v>
      </c>
    </row>
    <row r="469">
      <c r="A469" s="36">
        <v>41155.0</v>
      </c>
      <c r="B469" s="34">
        <v>0.747112930632</v>
      </c>
      <c r="C469" s="36">
        <v>42438.0</v>
      </c>
      <c r="D469" t="str">
        <f t="shared" si="6"/>
        <v>2012-09</v>
      </c>
      <c r="E469" s="44" t="str">
        <f t="shared" si="7"/>
        <v>2016-03</v>
      </c>
      <c r="F469" s="63"/>
      <c r="G469" s="36">
        <v>41539.0</v>
      </c>
      <c r="H469" s="34">
        <v>0.742608807505</v>
      </c>
      <c r="J469" t="str">
        <f t="shared" si="8"/>
        <v>2013-09</v>
      </c>
      <c r="K469" s="44"/>
      <c r="L469" s="46">
        <v>41907.0</v>
      </c>
      <c r="M469" s="4">
        <v>0.757673574631</v>
      </c>
      <c r="O469" t="str">
        <f t="shared" si="10"/>
        <v>2014-09</v>
      </c>
      <c r="Q469" s="36">
        <v>42748.0</v>
      </c>
      <c r="R469" s="4">
        <v>0.794116409526</v>
      </c>
      <c r="T469" t="str">
        <f t="shared" si="12"/>
        <v>2017-01</v>
      </c>
      <c r="AB469" s="36">
        <v>41150.0</v>
      </c>
      <c r="AC469" s="4">
        <v>0.688138272552</v>
      </c>
      <c r="AE469" t="str">
        <f t="shared" si="14"/>
        <v>2012-08</v>
      </c>
      <c r="AG469" s="36">
        <v>42080.0</v>
      </c>
      <c r="AH469" s="4">
        <v>0.748323353083</v>
      </c>
      <c r="AJ469" s="48" t="str">
        <f t="shared" si="16"/>
        <v>2015-03</v>
      </c>
      <c r="AL469" s="36">
        <v>41901.0</v>
      </c>
      <c r="AM469" s="4">
        <v>0.706152056767</v>
      </c>
      <c r="AO469" s="49" t="str">
        <f t="shared" si="18"/>
        <v>2014-09</v>
      </c>
    </row>
    <row r="470">
      <c r="A470" s="36">
        <v>41161.0</v>
      </c>
      <c r="B470" s="34">
        <v>0.61125303421</v>
      </c>
      <c r="C470" s="36">
        <v>42443.0</v>
      </c>
      <c r="D470" t="str">
        <f t="shared" si="6"/>
        <v>2012-09</v>
      </c>
      <c r="E470" s="44" t="str">
        <f t="shared" si="7"/>
        <v>2016-03</v>
      </c>
      <c r="F470" s="63"/>
      <c r="G470" s="36">
        <v>41540.0</v>
      </c>
      <c r="H470" s="34">
        <v>0.739261343563</v>
      </c>
      <c r="J470" t="str">
        <f t="shared" si="8"/>
        <v>2013-09</v>
      </c>
      <c r="K470" s="44"/>
      <c r="L470" s="46">
        <v>41913.0</v>
      </c>
      <c r="M470" s="4">
        <v>0.707356999601</v>
      </c>
      <c r="O470" t="str">
        <f t="shared" si="10"/>
        <v>2014-10</v>
      </c>
      <c r="Q470" s="36">
        <v>42754.0</v>
      </c>
      <c r="R470" s="4">
        <v>0.740960082389</v>
      </c>
      <c r="T470" t="str">
        <f t="shared" si="12"/>
        <v>2017-01</v>
      </c>
      <c r="AB470" s="36">
        <v>41156.0</v>
      </c>
      <c r="AC470" s="4">
        <v>0.756312006577</v>
      </c>
      <c r="AE470" t="str">
        <f t="shared" si="14"/>
        <v>2012-09</v>
      </c>
      <c r="AG470" s="36">
        <v>42086.0</v>
      </c>
      <c r="AH470" s="4">
        <v>0.707853049341</v>
      </c>
      <c r="AJ470" s="48" t="str">
        <f t="shared" si="16"/>
        <v>2015-03</v>
      </c>
      <c r="AL470" s="36">
        <v>41902.0</v>
      </c>
      <c r="AM470" s="4">
        <v>0.753809653842</v>
      </c>
      <c r="AO470" s="49" t="str">
        <f t="shared" si="18"/>
        <v>2014-09</v>
      </c>
    </row>
    <row r="471">
      <c r="A471" s="36">
        <v>41162.0</v>
      </c>
      <c r="B471" s="34">
        <v>0.790546557951</v>
      </c>
      <c r="C471" s="36">
        <v>42445.0</v>
      </c>
      <c r="D471" t="str">
        <f t="shared" si="6"/>
        <v>2012-09</v>
      </c>
      <c r="E471" s="44" t="str">
        <f t="shared" si="7"/>
        <v>2016-03</v>
      </c>
      <c r="F471" s="63"/>
      <c r="G471" s="36">
        <v>41546.0</v>
      </c>
      <c r="H471" s="34">
        <v>0.686635932203</v>
      </c>
      <c r="J471" t="str">
        <f t="shared" si="8"/>
        <v>2013-09</v>
      </c>
      <c r="K471" s="44"/>
      <c r="L471" s="46">
        <v>41914.0</v>
      </c>
      <c r="M471" s="4">
        <v>0.676003063176</v>
      </c>
      <c r="O471" t="str">
        <f t="shared" si="10"/>
        <v>2014-10</v>
      </c>
      <c r="Q471" s="36">
        <v>42755.0</v>
      </c>
      <c r="R471" s="4">
        <v>0.642636285453</v>
      </c>
      <c r="T471" t="str">
        <f t="shared" si="12"/>
        <v>2017-01</v>
      </c>
      <c r="AB471" s="36">
        <v>41157.0</v>
      </c>
      <c r="AC471" s="4">
        <v>0.743827474786</v>
      </c>
      <c r="AE471" t="str">
        <f t="shared" si="14"/>
        <v>2012-09</v>
      </c>
      <c r="AG471" s="36">
        <v>42087.0</v>
      </c>
      <c r="AH471" s="4">
        <v>0.678287323177</v>
      </c>
      <c r="AJ471" s="48" t="str">
        <f t="shared" si="16"/>
        <v>2015-03</v>
      </c>
      <c r="AL471" s="36">
        <v>41908.0</v>
      </c>
      <c r="AM471" s="4">
        <v>0.797537389034</v>
      </c>
      <c r="AO471" s="49" t="str">
        <f t="shared" si="18"/>
        <v>2014-09</v>
      </c>
    </row>
    <row r="472">
      <c r="A472" s="36">
        <v>41168.0</v>
      </c>
      <c r="B472" s="34">
        <v>0.74125348972</v>
      </c>
      <c r="C472" s="36">
        <v>42452.0</v>
      </c>
      <c r="D472" t="str">
        <f t="shared" si="6"/>
        <v>2012-09</v>
      </c>
      <c r="E472" s="44" t="str">
        <f t="shared" si="7"/>
        <v>2016-03</v>
      </c>
      <c r="F472" s="63"/>
      <c r="G472" s="36">
        <v>41547.0</v>
      </c>
      <c r="H472" s="34">
        <v>0.783726985798</v>
      </c>
      <c r="J472" t="str">
        <f t="shared" si="8"/>
        <v>2013-09</v>
      </c>
      <c r="K472" s="44"/>
      <c r="L472" s="46">
        <v>41920.0</v>
      </c>
      <c r="M472" s="4">
        <v>0.737835043388</v>
      </c>
      <c r="O472" t="str">
        <f t="shared" si="10"/>
        <v>2014-10</v>
      </c>
      <c r="Q472" s="36">
        <v>42761.0</v>
      </c>
      <c r="R472" s="4">
        <v>0.756055359497</v>
      </c>
      <c r="T472" t="str">
        <f t="shared" si="12"/>
        <v>2017-01</v>
      </c>
      <c r="AB472" s="36">
        <v>41163.0</v>
      </c>
      <c r="AC472" s="4">
        <v>0.672346288999</v>
      </c>
      <c r="AE472" t="str">
        <f t="shared" si="14"/>
        <v>2012-09</v>
      </c>
      <c r="AG472" s="36">
        <v>42093.0</v>
      </c>
      <c r="AH472" s="4">
        <v>0.683036576018</v>
      </c>
      <c r="AJ472" s="48" t="str">
        <f t="shared" si="16"/>
        <v>2015-03</v>
      </c>
      <c r="AL472" s="36">
        <v>41909.0</v>
      </c>
      <c r="AM472" s="4">
        <v>0.833747624874</v>
      </c>
      <c r="AO472" s="49" t="str">
        <f t="shared" si="18"/>
        <v>2014-09</v>
      </c>
    </row>
    <row r="473">
      <c r="A473" s="36">
        <v>41169.0</v>
      </c>
      <c r="B473" s="34">
        <v>0.751271963319</v>
      </c>
      <c r="C473" s="36">
        <v>42461.0</v>
      </c>
      <c r="D473" t="str">
        <f t="shared" si="6"/>
        <v>2012-09</v>
      </c>
      <c r="E473" s="44" t="str">
        <f t="shared" si="7"/>
        <v>2016-04</v>
      </c>
      <c r="F473" s="63"/>
      <c r="G473" s="36">
        <v>41553.0</v>
      </c>
      <c r="H473" s="34">
        <v>0.667922304874</v>
      </c>
      <c r="J473" t="str">
        <f t="shared" si="8"/>
        <v>2013-10</v>
      </c>
      <c r="K473" s="44"/>
      <c r="L473" s="46">
        <v>41921.0</v>
      </c>
      <c r="M473" s="4">
        <v>0.639755359738</v>
      </c>
      <c r="O473" t="str">
        <f t="shared" si="10"/>
        <v>2014-10</v>
      </c>
      <c r="Q473" s="36">
        <v>42762.0</v>
      </c>
      <c r="R473" s="4">
        <v>0.941617029308</v>
      </c>
      <c r="T473" t="str">
        <f t="shared" si="12"/>
        <v>2017-01</v>
      </c>
      <c r="AB473" s="36">
        <v>41164.0</v>
      </c>
      <c r="AC473" s="4">
        <v>0.657089512734</v>
      </c>
      <c r="AE473" t="str">
        <f t="shared" si="14"/>
        <v>2012-09</v>
      </c>
      <c r="AG473" s="36">
        <v>42094.0</v>
      </c>
      <c r="AH473" s="4">
        <v>0.644364474757</v>
      </c>
      <c r="AJ473" s="48" t="str">
        <f t="shared" si="16"/>
        <v>2015-03</v>
      </c>
      <c r="AL473" s="36">
        <v>41915.0</v>
      </c>
      <c r="AM473" s="4">
        <v>0.762193726271</v>
      </c>
      <c r="AO473" s="49" t="str">
        <f t="shared" si="18"/>
        <v>2014-10</v>
      </c>
    </row>
    <row r="474">
      <c r="A474" s="36">
        <v>41175.0</v>
      </c>
      <c r="B474" s="34">
        <v>0.66437545599</v>
      </c>
      <c r="C474" s="36">
        <v>42465.0</v>
      </c>
      <c r="D474" t="str">
        <f t="shared" si="6"/>
        <v>2012-09</v>
      </c>
      <c r="E474" s="44" t="str">
        <f t="shared" si="7"/>
        <v>2016-04</v>
      </c>
      <c r="F474" s="63"/>
      <c r="G474" s="36">
        <v>41554.0</v>
      </c>
      <c r="H474" s="34">
        <v>0.820636046604</v>
      </c>
      <c r="J474" t="str">
        <f t="shared" si="8"/>
        <v>2013-10</v>
      </c>
      <c r="K474" s="44"/>
      <c r="L474" s="46">
        <v>41927.0</v>
      </c>
      <c r="M474" s="4">
        <v>0.737764463305</v>
      </c>
      <c r="O474" t="str">
        <f t="shared" si="10"/>
        <v>2014-10</v>
      </c>
      <c r="Q474" s="36">
        <v>42768.0</v>
      </c>
      <c r="R474" s="4">
        <v>0.760891869194</v>
      </c>
      <c r="T474" t="str">
        <f t="shared" si="12"/>
        <v>2017-02</v>
      </c>
      <c r="AB474" s="36">
        <v>41170.0</v>
      </c>
      <c r="AC474" s="4">
        <v>0.730495117368</v>
      </c>
      <c r="AE474" t="str">
        <f t="shared" si="14"/>
        <v>2012-09</v>
      </c>
      <c r="AG474" s="36">
        <v>42100.0</v>
      </c>
      <c r="AH474" s="4">
        <v>0.644158291049</v>
      </c>
      <c r="AJ474" s="48" t="str">
        <f t="shared" si="16"/>
        <v>2015-04</v>
      </c>
      <c r="AL474" s="36">
        <v>41922.0</v>
      </c>
      <c r="AM474" s="4">
        <v>0.819119817756</v>
      </c>
      <c r="AO474" s="49" t="str">
        <f t="shared" si="18"/>
        <v>2014-10</v>
      </c>
    </row>
    <row r="475">
      <c r="A475" s="36">
        <v>41176.0</v>
      </c>
      <c r="B475" s="34">
        <v>0.725036451475</v>
      </c>
      <c r="C475" s="36">
        <v>42481.0</v>
      </c>
      <c r="D475" t="str">
        <f t="shared" si="6"/>
        <v>2012-09</v>
      </c>
      <c r="E475" s="44" t="str">
        <f t="shared" si="7"/>
        <v>2016-04</v>
      </c>
      <c r="F475" s="63"/>
      <c r="G475" s="36">
        <v>41560.0</v>
      </c>
      <c r="H475" s="34">
        <v>0.72679668932</v>
      </c>
      <c r="J475" t="str">
        <f t="shared" si="8"/>
        <v>2013-10</v>
      </c>
      <c r="K475" s="44"/>
      <c r="L475" s="46">
        <v>41928.0</v>
      </c>
      <c r="M475" s="4">
        <v>0.671608179782</v>
      </c>
      <c r="O475" t="str">
        <f t="shared" si="10"/>
        <v>2014-10</v>
      </c>
      <c r="Q475" s="36">
        <v>42769.0</v>
      </c>
      <c r="R475" s="4">
        <v>0.755033463279</v>
      </c>
      <c r="T475" t="str">
        <f t="shared" si="12"/>
        <v>2017-02</v>
      </c>
      <c r="AB475" s="36">
        <v>41177.0</v>
      </c>
      <c r="AC475" s="4">
        <v>0.683223559472</v>
      </c>
      <c r="AE475" t="str">
        <f t="shared" si="14"/>
        <v>2012-09</v>
      </c>
      <c r="AG475" s="36">
        <v>42101.0</v>
      </c>
      <c r="AH475" s="4">
        <v>0.801141205077</v>
      </c>
      <c r="AJ475" s="48" t="str">
        <f t="shared" si="16"/>
        <v>2015-04</v>
      </c>
      <c r="AL475" s="36">
        <v>41923.0</v>
      </c>
      <c r="AM475" s="4">
        <v>0.736833533992</v>
      </c>
      <c r="AO475" s="49" t="str">
        <f t="shared" si="18"/>
        <v>2014-10</v>
      </c>
    </row>
    <row r="476">
      <c r="A476" s="36">
        <v>41182.0</v>
      </c>
      <c r="B476" s="34">
        <v>0.696323753878</v>
      </c>
      <c r="C476" s="36">
        <v>42495.0</v>
      </c>
      <c r="D476" t="str">
        <f t="shared" si="6"/>
        <v>2012-09</v>
      </c>
      <c r="E476" s="44" t="str">
        <f t="shared" si="7"/>
        <v>2016-05</v>
      </c>
      <c r="F476" s="63"/>
      <c r="G476" s="36">
        <v>41561.0</v>
      </c>
      <c r="H476" s="34">
        <v>0.630778813899</v>
      </c>
      <c r="J476" t="str">
        <f t="shared" si="8"/>
        <v>2013-10</v>
      </c>
      <c r="K476" s="44"/>
      <c r="L476" s="46">
        <v>41934.0</v>
      </c>
      <c r="M476" s="4">
        <v>0.686732930367</v>
      </c>
      <c r="O476" t="str">
        <f t="shared" si="10"/>
        <v>2014-10</v>
      </c>
      <c r="Q476" s="36">
        <v>42775.0</v>
      </c>
      <c r="R476" s="4">
        <v>0.686458095901</v>
      </c>
      <c r="T476" t="str">
        <f t="shared" si="12"/>
        <v>2017-02</v>
      </c>
      <c r="AB476" s="36">
        <v>41178.0</v>
      </c>
      <c r="AC476" s="4">
        <v>0.566101823921</v>
      </c>
      <c r="AE476" t="str">
        <f t="shared" si="14"/>
        <v>2012-09</v>
      </c>
      <c r="AG476" s="36">
        <v>42107.0</v>
      </c>
      <c r="AH476" s="4">
        <v>0.709247069829</v>
      </c>
      <c r="AJ476" s="48" t="str">
        <f t="shared" si="16"/>
        <v>2015-04</v>
      </c>
      <c r="AL476" s="36">
        <v>41929.0</v>
      </c>
      <c r="AM476" s="4">
        <v>0.723768018973</v>
      </c>
      <c r="AO476" s="49" t="str">
        <f t="shared" si="18"/>
        <v>2014-10</v>
      </c>
    </row>
    <row r="477">
      <c r="A477" s="36">
        <v>41183.0</v>
      </c>
      <c r="B477" s="34">
        <v>0.710290804553</v>
      </c>
      <c r="C477" s="36">
        <v>42544.0</v>
      </c>
      <c r="D477" t="str">
        <f t="shared" si="6"/>
        <v>2012-10</v>
      </c>
      <c r="E477" s="44" t="str">
        <f t="shared" si="7"/>
        <v>2016-06</v>
      </c>
      <c r="F477" s="63"/>
      <c r="G477" s="36">
        <v>41567.0</v>
      </c>
      <c r="H477" s="34">
        <v>0.751905282009</v>
      </c>
      <c r="J477" t="str">
        <f t="shared" si="8"/>
        <v>2013-10</v>
      </c>
      <c r="K477" s="44"/>
      <c r="L477" s="46">
        <v>41935.0</v>
      </c>
      <c r="M477" s="4">
        <v>0.7337500751</v>
      </c>
      <c r="O477" t="str">
        <f t="shared" si="10"/>
        <v>2014-10</v>
      </c>
      <c r="Q477" s="36">
        <v>42776.0</v>
      </c>
      <c r="R477" s="4">
        <v>0.737142750006</v>
      </c>
      <c r="T477" t="str">
        <f t="shared" si="12"/>
        <v>2017-02</v>
      </c>
      <c r="AB477" s="36">
        <v>41184.0</v>
      </c>
      <c r="AC477" s="4">
        <v>0.709722119734</v>
      </c>
      <c r="AE477" t="str">
        <f t="shared" si="14"/>
        <v>2012-10</v>
      </c>
      <c r="AG477" s="36">
        <v>42108.0</v>
      </c>
      <c r="AH477" s="4">
        <v>0.765078782891</v>
      </c>
      <c r="AJ477" s="48" t="str">
        <f t="shared" si="16"/>
        <v>2015-04</v>
      </c>
      <c r="AL477" s="36">
        <v>41930.0</v>
      </c>
      <c r="AM477" s="4">
        <v>0.828951956318</v>
      </c>
      <c r="AO477" s="49" t="str">
        <f t="shared" si="18"/>
        <v>2014-10</v>
      </c>
    </row>
    <row r="478">
      <c r="A478" s="36">
        <v>41189.0</v>
      </c>
      <c r="B478" s="34">
        <v>0.664869191038</v>
      </c>
      <c r="C478" s="36">
        <v>42486.0</v>
      </c>
      <c r="D478" t="str">
        <f t="shared" si="6"/>
        <v>2012-10</v>
      </c>
      <c r="E478" s="44" t="str">
        <f t="shared" si="7"/>
        <v>2016-04</v>
      </c>
      <c r="F478" s="63"/>
      <c r="G478" s="36">
        <v>41568.0</v>
      </c>
      <c r="H478" s="34">
        <v>0.666426218775</v>
      </c>
      <c r="J478" t="str">
        <f t="shared" si="8"/>
        <v>2013-10</v>
      </c>
      <c r="K478" s="44"/>
      <c r="L478" s="46">
        <v>41941.0</v>
      </c>
      <c r="M478" s="4">
        <v>0.749000366778</v>
      </c>
      <c r="O478" t="str">
        <f t="shared" si="10"/>
        <v>2014-10</v>
      </c>
      <c r="Q478" s="36">
        <v>42782.0</v>
      </c>
      <c r="R478" s="4">
        <v>0.695065049233</v>
      </c>
      <c r="T478" t="str">
        <f t="shared" si="12"/>
        <v>2017-02</v>
      </c>
      <c r="AB478" s="36">
        <v>41191.0</v>
      </c>
      <c r="AC478" s="4">
        <v>0.74054915786</v>
      </c>
      <c r="AE478" t="str">
        <f t="shared" si="14"/>
        <v>2012-10</v>
      </c>
      <c r="AG478" s="36">
        <v>42114.0</v>
      </c>
      <c r="AH478" s="4">
        <v>0.779685387264</v>
      </c>
      <c r="AJ478" s="48" t="str">
        <f t="shared" si="16"/>
        <v>2015-04</v>
      </c>
      <c r="AL478" s="36">
        <v>41936.0</v>
      </c>
      <c r="AM478" s="4">
        <v>0.73114032263</v>
      </c>
      <c r="AO478" s="49" t="str">
        <f t="shared" si="18"/>
        <v>2014-10</v>
      </c>
    </row>
    <row r="479">
      <c r="A479" s="36">
        <v>41190.0</v>
      </c>
      <c r="B479" s="34">
        <v>0.603469655054</v>
      </c>
      <c r="C479" s="36">
        <v>42495.0</v>
      </c>
      <c r="D479" t="str">
        <f t="shared" si="6"/>
        <v>2012-10</v>
      </c>
      <c r="E479" s="44" t="str">
        <f t="shared" si="7"/>
        <v>2016-05</v>
      </c>
      <c r="F479" s="63"/>
      <c r="G479" s="36">
        <v>41574.0</v>
      </c>
      <c r="H479" s="34">
        <v>0.662621317688</v>
      </c>
      <c r="J479" t="str">
        <f t="shared" si="8"/>
        <v>2013-10</v>
      </c>
      <c r="K479" s="44"/>
      <c r="L479" s="46">
        <v>41942.0</v>
      </c>
      <c r="M479" s="4">
        <v>0.959212686576</v>
      </c>
      <c r="O479" t="str">
        <f t="shared" si="10"/>
        <v>2014-10</v>
      </c>
      <c r="Q479" s="36">
        <v>42783.0</v>
      </c>
      <c r="R479" s="4">
        <v>0.884946531987</v>
      </c>
      <c r="T479" t="str">
        <f t="shared" si="12"/>
        <v>2017-02</v>
      </c>
      <c r="AB479" s="36">
        <v>41192.0</v>
      </c>
      <c r="AC479" s="4">
        <v>0.760737540514</v>
      </c>
      <c r="AE479" t="str">
        <f t="shared" si="14"/>
        <v>2012-10</v>
      </c>
      <c r="AG479" s="36">
        <v>42115.0</v>
      </c>
      <c r="AH479" s="4">
        <v>0.791498566804</v>
      </c>
      <c r="AJ479" s="48" t="str">
        <f t="shared" si="16"/>
        <v>2015-04</v>
      </c>
      <c r="AL479" s="36">
        <v>41937.0</v>
      </c>
      <c r="AM479" s="4">
        <v>0.650054735504</v>
      </c>
      <c r="AO479" s="49" t="str">
        <f t="shared" si="18"/>
        <v>2014-10</v>
      </c>
    </row>
    <row r="480">
      <c r="A480" s="36">
        <v>41196.0</v>
      </c>
      <c r="B480" s="34">
        <v>0.690869985756</v>
      </c>
      <c r="C480" s="36">
        <v>42507.0</v>
      </c>
      <c r="D480" t="str">
        <f t="shared" si="6"/>
        <v>2012-10</v>
      </c>
      <c r="E480" s="44" t="str">
        <f t="shared" si="7"/>
        <v>2016-05</v>
      </c>
      <c r="F480" s="63"/>
      <c r="G480" s="36">
        <v>41575.0</v>
      </c>
      <c r="H480" s="34">
        <v>0.508637368177</v>
      </c>
      <c r="J480" t="str">
        <f t="shared" si="8"/>
        <v>2013-10</v>
      </c>
      <c r="K480" s="44"/>
      <c r="L480" s="46">
        <v>41948.0</v>
      </c>
      <c r="M480" s="4">
        <v>0.715836243167</v>
      </c>
      <c r="O480" t="str">
        <f t="shared" si="10"/>
        <v>2014-11</v>
      </c>
      <c r="Q480" s="36">
        <v>42789.0</v>
      </c>
      <c r="R480" s="4">
        <v>0.716913279652</v>
      </c>
      <c r="T480" t="str">
        <f t="shared" si="12"/>
        <v>2017-02</v>
      </c>
      <c r="AB480" s="36">
        <v>41198.0</v>
      </c>
      <c r="AC480" s="4">
        <v>0.645815310403</v>
      </c>
      <c r="AE480" t="str">
        <f t="shared" si="14"/>
        <v>2012-10</v>
      </c>
      <c r="AG480" s="36">
        <v>42121.0</v>
      </c>
      <c r="AH480" s="4">
        <v>0.667346274553</v>
      </c>
      <c r="AJ480" s="48" t="str">
        <f t="shared" si="16"/>
        <v>2015-04</v>
      </c>
      <c r="AL480" s="36">
        <v>41943.0</v>
      </c>
      <c r="AM480" s="4">
        <v>0.779373646685</v>
      </c>
      <c r="AO480" s="49" t="str">
        <f t="shared" si="18"/>
        <v>2014-10</v>
      </c>
    </row>
    <row r="481">
      <c r="A481" s="36">
        <v>41197.0</v>
      </c>
      <c r="B481" s="34">
        <v>0.642964680831</v>
      </c>
      <c r="C481" s="36">
        <v>42523.0</v>
      </c>
      <c r="D481" t="str">
        <f t="shared" si="6"/>
        <v>2012-10</v>
      </c>
      <c r="E481" s="44" t="str">
        <f t="shared" si="7"/>
        <v>2016-06</v>
      </c>
      <c r="F481" s="63"/>
      <c r="G481" s="36">
        <v>41581.0</v>
      </c>
      <c r="H481" s="34">
        <v>0.709862560527</v>
      </c>
      <c r="J481" t="str">
        <f t="shared" si="8"/>
        <v>2013-11</v>
      </c>
      <c r="K481" s="44"/>
      <c r="L481" s="46">
        <v>41949.0</v>
      </c>
      <c r="M481" s="4">
        <v>0.437297382325</v>
      </c>
      <c r="O481" t="str">
        <f t="shared" si="10"/>
        <v>2014-11</v>
      </c>
      <c r="Q481" s="36">
        <v>42790.0</v>
      </c>
      <c r="R481" s="4">
        <v>0.838964235998</v>
      </c>
      <c r="T481" t="str">
        <f t="shared" si="12"/>
        <v>2017-02</v>
      </c>
      <c r="AB481" s="36">
        <v>41199.0</v>
      </c>
      <c r="AC481" s="4">
        <v>0.635300213454</v>
      </c>
      <c r="AE481" t="str">
        <f t="shared" si="14"/>
        <v>2012-10</v>
      </c>
      <c r="AG481" s="36">
        <v>42122.0</v>
      </c>
      <c r="AH481" s="4">
        <v>0.761267096829</v>
      </c>
      <c r="AJ481" s="48" t="str">
        <f t="shared" si="16"/>
        <v>2015-04</v>
      </c>
      <c r="AL481" s="36">
        <v>41944.0</v>
      </c>
      <c r="AM481" s="4">
        <v>0.869020930221</v>
      </c>
      <c r="AO481" s="49" t="str">
        <f t="shared" si="18"/>
        <v>2014-11</v>
      </c>
    </row>
    <row r="482">
      <c r="A482" s="36">
        <v>41203.0</v>
      </c>
      <c r="B482" s="34">
        <v>0.662761595893</v>
      </c>
      <c r="C482" s="36">
        <v>42538.0</v>
      </c>
      <c r="D482" t="str">
        <f t="shared" si="6"/>
        <v>2012-10</v>
      </c>
      <c r="E482" s="44" t="str">
        <f t="shared" si="7"/>
        <v>2016-06</v>
      </c>
      <c r="F482" s="63"/>
      <c r="G482" s="36">
        <v>41582.0</v>
      </c>
      <c r="H482" s="34">
        <v>0.707726428393</v>
      </c>
      <c r="J482" t="str">
        <f t="shared" si="8"/>
        <v>2013-11</v>
      </c>
      <c r="K482" s="44"/>
      <c r="L482" s="46">
        <v>41955.0</v>
      </c>
      <c r="M482" s="4">
        <v>0.752092443229</v>
      </c>
      <c r="O482" t="str">
        <f t="shared" si="10"/>
        <v>2014-11</v>
      </c>
      <c r="Q482" s="36">
        <v>42796.0</v>
      </c>
      <c r="R482" s="4">
        <v>0.748572432797</v>
      </c>
      <c r="T482" t="str">
        <f t="shared" si="12"/>
        <v>2017-03</v>
      </c>
      <c r="AB482" s="36">
        <v>41205.0</v>
      </c>
      <c r="AC482" s="4">
        <v>0.665843479932</v>
      </c>
      <c r="AE482" t="str">
        <f t="shared" si="14"/>
        <v>2012-10</v>
      </c>
      <c r="AG482" s="36">
        <v>42128.0</v>
      </c>
      <c r="AH482" s="4">
        <v>0.720567605363</v>
      </c>
      <c r="AJ482" s="48" t="str">
        <f t="shared" si="16"/>
        <v>2015-05</v>
      </c>
      <c r="AL482" s="36">
        <v>41950.0</v>
      </c>
      <c r="AM482" s="4">
        <v>0.646642436025</v>
      </c>
      <c r="AO482" s="49" t="str">
        <f t="shared" si="18"/>
        <v>2014-11</v>
      </c>
    </row>
    <row r="483">
      <c r="A483" s="36">
        <v>41204.0</v>
      </c>
      <c r="B483" s="34">
        <v>0.611212036308</v>
      </c>
      <c r="C483" s="36">
        <v>42557.0</v>
      </c>
      <c r="D483" t="str">
        <f t="shared" si="6"/>
        <v>2012-10</v>
      </c>
      <c r="E483" s="44" t="str">
        <f t="shared" si="7"/>
        <v>2016-07</v>
      </c>
      <c r="F483" s="63"/>
      <c r="G483" s="36">
        <v>41588.0</v>
      </c>
      <c r="H483" s="34">
        <v>0.741873557311</v>
      </c>
      <c r="J483" t="str">
        <f t="shared" si="8"/>
        <v>2013-11</v>
      </c>
      <c r="K483" s="44"/>
      <c r="L483" s="46">
        <v>41956.0</v>
      </c>
      <c r="M483" s="4">
        <v>0.708133133219</v>
      </c>
      <c r="O483" t="str">
        <f t="shared" si="10"/>
        <v>2014-11</v>
      </c>
      <c r="Q483" s="36">
        <v>42797.0</v>
      </c>
      <c r="R483" s="4">
        <v>0.757273081509</v>
      </c>
      <c r="T483" t="str">
        <f t="shared" si="12"/>
        <v>2017-03</v>
      </c>
      <c r="AB483" s="36">
        <v>41206.0</v>
      </c>
      <c r="AC483" s="4">
        <v>0.69917653862</v>
      </c>
      <c r="AE483" t="str">
        <f t="shared" si="14"/>
        <v>2012-10</v>
      </c>
      <c r="AG483" s="36">
        <v>42129.0</v>
      </c>
      <c r="AH483" s="4">
        <v>0.706903503144</v>
      </c>
      <c r="AJ483" s="48" t="str">
        <f t="shared" si="16"/>
        <v>2015-05</v>
      </c>
      <c r="AL483" s="36">
        <v>41951.0</v>
      </c>
      <c r="AM483" s="4">
        <v>0.7840301344</v>
      </c>
      <c r="AO483" s="49" t="str">
        <f t="shared" si="18"/>
        <v>2014-11</v>
      </c>
    </row>
    <row r="484">
      <c r="A484" s="36">
        <v>41210.0</v>
      </c>
      <c r="B484" s="34">
        <v>0.706702413601</v>
      </c>
      <c r="C484" s="36">
        <v>42572.0</v>
      </c>
      <c r="D484" t="str">
        <f t="shared" si="6"/>
        <v>2012-10</v>
      </c>
      <c r="E484" s="44" t="str">
        <f t="shared" si="7"/>
        <v>2016-07</v>
      </c>
      <c r="F484" s="63"/>
      <c r="G484" s="36">
        <v>41589.0</v>
      </c>
      <c r="H484" s="34">
        <v>0.719108820609</v>
      </c>
      <c r="J484" t="str">
        <f t="shared" si="8"/>
        <v>2013-11</v>
      </c>
      <c r="K484" s="44"/>
      <c r="L484" s="46">
        <v>41962.0</v>
      </c>
      <c r="M484" s="4">
        <v>0.756924874089</v>
      </c>
      <c r="O484" t="str">
        <f t="shared" si="10"/>
        <v>2014-11</v>
      </c>
      <c r="Q484" s="36">
        <v>42803.0</v>
      </c>
      <c r="R484" s="4">
        <v>0.793782175779</v>
      </c>
      <c r="T484" t="str">
        <f t="shared" si="12"/>
        <v>2017-03</v>
      </c>
      <c r="AB484" s="36">
        <v>41212.0</v>
      </c>
      <c r="AC484" s="4">
        <v>0.70003415742</v>
      </c>
      <c r="AE484" t="str">
        <f t="shared" si="14"/>
        <v>2012-10</v>
      </c>
      <c r="AG484" s="36">
        <v>42135.0</v>
      </c>
      <c r="AH484" s="4">
        <v>0.586245490182</v>
      </c>
      <c r="AJ484" s="48" t="str">
        <f t="shared" si="16"/>
        <v>2015-05</v>
      </c>
      <c r="AL484" s="36">
        <v>41957.0</v>
      </c>
      <c r="AM484" s="4">
        <v>0.744803377926</v>
      </c>
      <c r="AO484" s="49" t="str">
        <f t="shared" si="18"/>
        <v>2014-11</v>
      </c>
    </row>
    <row r="485">
      <c r="A485" s="36">
        <v>41211.0</v>
      </c>
      <c r="B485" s="34">
        <v>0.694572664498</v>
      </c>
      <c r="C485" s="36">
        <v>42597.0</v>
      </c>
      <c r="D485" t="str">
        <f t="shared" si="6"/>
        <v>2012-10</v>
      </c>
      <c r="E485" s="44" t="str">
        <f t="shared" si="7"/>
        <v>2016-08</v>
      </c>
      <c r="F485" s="63"/>
      <c r="G485" s="36">
        <v>41595.0</v>
      </c>
      <c r="H485" s="34">
        <v>0.760857100873</v>
      </c>
      <c r="J485" t="str">
        <f t="shared" si="8"/>
        <v>2013-11</v>
      </c>
      <c r="K485" s="44"/>
      <c r="L485" s="46">
        <v>41963.0</v>
      </c>
      <c r="M485" s="4">
        <v>0.850277271113</v>
      </c>
      <c r="O485" t="str">
        <f t="shared" si="10"/>
        <v>2014-11</v>
      </c>
      <c r="Q485" s="36">
        <v>42804.0</v>
      </c>
      <c r="R485" s="4">
        <v>0.778969094766</v>
      </c>
      <c r="T485" t="str">
        <f t="shared" si="12"/>
        <v>2017-03</v>
      </c>
      <c r="AB485" s="36">
        <v>41213.0</v>
      </c>
      <c r="AC485" s="4">
        <v>0.866196906138</v>
      </c>
      <c r="AE485" t="str">
        <f t="shared" si="14"/>
        <v>2012-10</v>
      </c>
      <c r="AG485" s="36">
        <v>42136.0</v>
      </c>
      <c r="AH485" s="4">
        <v>0.676922018208</v>
      </c>
      <c r="AJ485" s="48" t="str">
        <f t="shared" si="16"/>
        <v>2015-05</v>
      </c>
      <c r="AL485" s="36">
        <v>41958.0</v>
      </c>
      <c r="AM485" s="4">
        <v>0.554165722772</v>
      </c>
      <c r="AO485" s="49" t="str">
        <f t="shared" si="18"/>
        <v>2014-11</v>
      </c>
    </row>
    <row r="486">
      <c r="A486" s="36">
        <v>41217.0</v>
      </c>
      <c r="B486" s="34">
        <v>0.736402505343</v>
      </c>
      <c r="C486" s="36">
        <v>42608.0</v>
      </c>
      <c r="D486" t="str">
        <f t="shared" si="6"/>
        <v>2012-11</v>
      </c>
      <c r="E486" s="44" t="str">
        <f t="shared" si="7"/>
        <v>2016-08</v>
      </c>
      <c r="F486" s="63"/>
      <c r="G486" s="36">
        <v>41596.0</v>
      </c>
      <c r="H486" s="34">
        <v>0.765932926065</v>
      </c>
      <c r="J486" t="str">
        <f t="shared" si="8"/>
        <v>2013-11</v>
      </c>
      <c r="K486" s="44"/>
      <c r="L486" s="46">
        <v>41969.0</v>
      </c>
      <c r="M486" s="4">
        <v>0.725637043486</v>
      </c>
      <c r="O486" t="str">
        <f t="shared" si="10"/>
        <v>2014-11</v>
      </c>
      <c r="Q486" s="36">
        <v>42810.0</v>
      </c>
      <c r="R486" s="4">
        <v>0.754850334108</v>
      </c>
      <c r="T486" t="str">
        <f t="shared" si="12"/>
        <v>2017-03</v>
      </c>
      <c r="AB486" s="36">
        <v>41219.0</v>
      </c>
      <c r="AC486" s="4">
        <v>0.685650131721</v>
      </c>
      <c r="AE486" t="str">
        <f t="shared" si="14"/>
        <v>2012-11</v>
      </c>
      <c r="AG486" s="36">
        <v>42142.0</v>
      </c>
      <c r="AH486" s="4">
        <v>0.643796804338</v>
      </c>
      <c r="AJ486" s="48" t="str">
        <f t="shared" si="16"/>
        <v>2015-05</v>
      </c>
      <c r="AL486" s="36">
        <v>41964.0</v>
      </c>
      <c r="AM486" s="4">
        <v>0.722663965301</v>
      </c>
      <c r="AO486" s="49" t="str">
        <f t="shared" si="18"/>
        <v>2014-11</v>
      </c>
    </row>
    <row r="487">
      <c r="A487" s="36">
        <v>41218.0</v>
      </c>
      <c r="B487" s="34">
        <v>0.771659779483</v>
      </c>
      <c r="C487" s="36">
        <v>42628.0</v>
      </c>
      <c r="D487" t="str">
        <f t="shared" si="6"/>
        <v>2012-11</v>
      </c>
      <c r="E487" s="44" t="str">
        <f t="shared" si="7"/>
        <v>2016-09</v>
      </c>
      <c r="F487" s="63"/>
      <c r="G487" s="36">
        <v>41602.0</v>
      </c>
      <c r="H487" s="34">
        <v>0.715492836831</v>
      </c>
      <c r="J487" t="str">
        <f t="shared" si="8"/>
        <v>2013-11</v>
      </c>
      <c r="K487" s="44"/>
      <c r="L487" s="46">
        <v>41970.0</v>
      </c>
      <c r="M487" s="4">
        <v>0.317825253549</v>
      </c>
      <c r="O487" t="str">
        <f t="shared" si="10"/>
        <v>2014-11</v>
      </c>
      <c r="Q487" s="36">
        <v>42811.0</v>
      </c>
      <c r="R487" s="4">
        <v>0.882404090577</v>
      </c>
      <c r="T487" t="str">
        <f t="shared" si="12"/>
        <v>2017-03</v>
      </c>
      <c r="AB487" s="36">
        <v>41226.0</v>
      </c>
      <c r="AC487" s="4">
        <v>0.699375061386</v>
      </c>
      <c r="AE487" t="str">
        <f t="shared" si="14"/>
        <v>2012-11</v>
      </c>
      <c r="AG487" s="36">
        <v>42143.0</v>
      </c>
      <c r="AH487" s="4">
        <v>0.576655871221</v>
      </c>
      <c r="AJ487" s="48" t="str">
        <f t="shared" si="16"/>
        <v>2015-05</v>
      </c>
      <c r="AL487" s="36">
        <v>41965.0</v>
      </c>
      <c r="AM487" s="4">
        <v>0.877746241842</v>
      </c>
      <c r="AO487" s="49" t="str">
        <f t="shared" si="18"/>
        <v>2014-11</v>
      </c>
    </row>
    <row r="488">
      <c r="A488" s="36">
        <v>41224.0</v>
      </c>
      <c r="B488" s="34">
        <v>0.671325946309</v>
      </c>
      <c r="C488" s="36">
        <v>42641.0</v>
      </c>
      <c r="D488" t="str">
        <f t="shared" si="6"/>
        <v>2012-11</v>
      </c>
      <c r="E488" s="44" t="str">
        <f t="shared" si="7"/>
        <v>2016-09</v>
      </c>
      <c r="F488" s="63"/>
      <c r="G488" s="36">
        <v>41603.0</v>
      </c>
      <c r="H488" s="34">
        <v>0.779330710605</v>
      </c>
      <c r="J488" t="str">
        <f t="shared" si="8"/>
        <v>2013-11</v>
      </c>
      <c r="K488" s="44"/>
      <c r="L488" s="46">
        <v>41976.0</v>
      </c>
      <c r="M488" s="4">
        <v>0.648271080093</v>
      </c>
      <c r="O488" t="str">
        <f t="shared" si="10"/>
        <v>2014-12</v>
      </c>
      <c r="Q488" s="36">
        <v>42817.0</v>
      </c>
      <c r="R488" s="4">
        <v>0.709934678249</v>
      </c>
      <c r="T488" t="str">
        <f t="shared" si="12"/>
        <v>2017-03</v>
      </c>
      <c r="AB488" s="36">
        <v>41227.0</v>
      </c>
      <c r="AC488" s="4">
        <v>0.571057322525</v>
      </c>
      <c r="AE488" t="str">
        <f t="shared" si="14"/>
        <v>2012-11</v>
      </c>
      <c r="AG488" s="36">
        <v>42149.0</v>
      </c>
      <c r="AH488" s="4">
        <v>0.70966515586</v>
      </c>
      <c r="AJ488" s="48" t="str">
        <f t="shared" si="16"/>
        <v>2015-05</v>
      </c>
      <c r="AL488" s="36">
        <v>41971.0</v>
      </c>
      <c r="AM488" s="4">
        <v>0.753441807027</v>
      </c>
      <c r="AO488" s="49" t="str">
        <f t="shared" si="18"/>
        <v>2014-11</v>
      </c>
    </row>
    <row r="489">
      <c r="A489" s="36">
        <v>41225.0</v>
      </c>
      <c r="B489" s="34">
        <v>0.559355180591</v>
      </c>
      <c r="C489" s="36">
        <v>42655.0</v>
      </c>
      <c r="D489" t="str">
        <f t="shared" si="6"/>
        <v>2012-11</v>
      </c>
      <c r="E489" s="44" t="str">
        <f t="shared" si="7"/>
        <v>2016-10</v>
      </c>
      <c r="F489" s="63"/>
      <c r="G489" s="36">
        <v>41609.0</v>
      </c>
      <c r="H489" s="34">
        <v>0.779302982949</v>
      </c>
      <c r="J489" t="str">
        <f t="shared" si="8"/>
        <v>2013-12</v>
      </c>
      <c r="K489" s="44"/>
      <c r="L489" s="46">
        <v>41983.0</v>
      </c>
      <c r="M489" s="4">
        <v>0.708539745936</v>
      </c>
      <c r="O489" t="str">
        <f t="shared" si="10"/>
        <v>2014-12</v>
      </c>
      <c r="Q489" s="36">
        <v>42818.0</v>
      </c>
      <c r="R489" s="4">
        <v>0.780613580011</v>
      </c>
      <c r="T489" t="str">
        <f t="shared" si="12"/>
        <v>2017-03</v>
      </c>
      <c r="AB489" s="36">
        <v>41233.0</v>
      </c>
      <c r="AC489" s="4">
        <v>0.808113845761</v>
      </c>
      <c r="AE489" t="str">
        <f t="shared" si="14"/>
        <v>2012-11</v>
      </c>
      <c r="AG489" s="36">
        <v>42150.0</v>
      </c>
      <c r="AH489" s="4">
        <v>0.740993315053</v>
      </c>
      <c r="AJ489" s="48" t="str">
        <f t="shared" si="16"/>
        <v>2015-05</v>
      </c>
      <c r="AL489" s="36">
        <v>41972.0</v>
      </c>
      <c r="AM489" s="4">
        <v>0.256795332573</v>
      </c>
      <c r="AO489" s="49" t="str">
        <f t="shared" si="18"/>
        <v>2014-11</v>
      </c>
    </row>
    <row r="490">
      <c r="A490" s="36">
        <v>41231.0</v>
      </c>
      <c r="B490" s="34">
        <v>0.724690419162</v>
      </c>
      <c r="C490" s="36">
        <v>42658.0</v>
      </c>
      <c r="D490" t="str">
        <f t="shared" si="6"/>
        <v>2012-11</v>
      </c>
      <c r="E490" s="44" t="str">
        <f t="shared" si="7"/>
        <v>2016-10</v>
      </c>
      <c r="F490" s="63"/>
      <c r="G490" s="36">
        <v>41610.0</v>
      </c>
      <c r="H490" s="34">
        <v>0.67268491746</v>
      </c>
      <c r="J490" t="str">
        <f t="shared" si="8"/>
        <v>2013-12</v>
      </c>
      <c r="K490" s="44"/>
      <c r="L490" s="46">
        <v>41984.0</v>
      </c>
      <c r="M490" s="4">
        <v>0.707960420643</v>
      </c>
      <c r="O490" t="str">
        <f t="shared" si="10"/>
        <v>2014-12</v>
      </c>
      <c r="Q490" s="36">
        <v>42824.0</v>
      </c>
      <c r="R490" s="4">
        <v>0.738464567715</v>
      </c>
      <c r="T490" t="str">
        <f t="shared" si="12"/>
        <v>2017-03</v>
      </c>
      <c r="AB490" s="36">
        <v>41234.0</v>
      </c>
      <c r="AC490" s="4">
        <v>0.777400343215</v>
      </c>
      <c r="AE490" t="str">
        <f t="shared" si="14"/>
        <v>2012-11</v>
      </c>
      <c r="AG490" s="36">
        <v>42156.0</v>
      </c>
      <c r="AH490" s="4">
        <v>0.679441002374</v>
      </c>
      <c r="AJ490" s="48" t="str">
        <f t="shared" si="16"/>
        <v>2015-06</v>
      </c>
      <c r="AL490" s="36">
        <v>41978.0</v>
      </c>
      <c r="AM490" s="4">
        <v>0.71878280819</v>
      </c>
      <c r="AO490" s="49" t="str">
        <f t="shared" si="18"/>
        <v>2014-12</v>
      </c>
    </row>
    <row r="491">
      <c r="A491" s="36">
        <v>41232.0</v>
      </c>
      <c r="B491" s="34">
        <v>0.495478888584</v>
      </c>
      <c r="C491" s="36">
        <v>42661.0</v>
      </c>
      <c r="D491" t="str">
        <f t="shared" si="6"/>
        <v>2012-11</v>
      </c>
      <c r="E491" s="44" t="str">
        <f t="shared" si="7"/>
        <v>2016-10</v>
      </c>
      <c r="F491" s="63"/>
      <c r="G491" s="36">
        <v>41616.0</v>
      </c>
      <c r="H491" s="34">
        <v>0.62371768877</v>
      </c>
      <c r="J491" t="str">
        <f t="shared" si="8"/>
        <v>2013-12</v>
      </c>
      <c r="K491" s="44"/>
      <c r="L491" s="46">
        <v>41990.0</v>
      </c>
      <c r="M491" s="4">
        <v>0.755446572759</v>
      </c>
      <c r="O491" t="str">
        <f t="shared" si="10"/>
        <v>2014-12</v>
      </c>
      <c r="Q491" s="36">
        <v>42825.0</v>
      </c>
      <c r="R491" s="4">
        <v>0.53296766716</v>
      </c>
      <c r="T491" t="str">
        <f t="shared" si="12"/>
        <v>2017-03</v>
      </c>
      <c r="AB491" s="36">
        <v>41240.0</v>
      </c>
      <c r="AC491" s="4">
        <v>0.682090944839</v>
      </c>
      <c r="AE491" t="str">
        <f t="shared" si="14"/>
        <v>2012-11</v>
      </c>
      <c r="AG491" s="36">
        <v>42157.0</v>
      </c>
      <c r="AH491" s="4">
        <v>0.771548710233</v>
      </c>
      <c r="AJ491" s="48" t="str">
        <f t="shared" si="16"/>
        <v>2015-06</v>
      </c>
      <c r="AL491" s="36">
        <v>41979.0</v>
      </c>
      <c r="AM491" s="4">
        <v>0.824392205415</v>
      </c>
      <c r="AO491" s="49" t="str">
        <f t="shared" si="18"/>
        <v>2014-12</v>
      </c>
    </row>
    <row r="492">
      <c r="A492" s="36">
        <v>41238.0</v>
      </c>
      <c r="B492" s="34">
        <v>0.68500299305</v>
      </c>
      <c r="C492" s="36">
        <v>42662.0</v>
      </c>
      <c r="D492" t="str">
        <f t="shared" si="6"/>
        <v>2012-11</v>
      </c>
      <c r="E492" s="44" t="str">
        <f t="shared" si="7"/>
        <v>2016-10</v>
      </c>
      <c r="F492" s="63"/>
      <c r="G492" s="36">
        <v>41617.0</v>
      </c>
      <c r="H492" s="34">
        <v>0.621112426679</v>
      </c>
      <c r="J492" t="str">
        <f t="shared" si="8"/>
        <v>2013-12</v>
      </c>
      <c r="K492" s="44"/>
      <c r="L492" s="46">
        <v>41991.0</v>
      </c>
      <c r="M492" s="4">
        <v>0.737339721247</v>
      </c>
      <c r="O492" t="str">
        <f t="shared" si="10"/>
        <v>2014-12</v>
      </c>
      <c r="Q492" s="36">
        <v>42831.0</v>
      </c>
      <c r="R492" s="4">
        <v>0.694896826917</v>
      </c>
      <c r="T492" t="str">
        <f t="shared" si="12"/>
        <v>2017-04</v>
      </c>
      <c r="AB492" s="36">
        <v>41241.0</v>
      </c>
      <c r="AC492" s="4">
        <v>0.672133048024</v>
      </c>
      <c r="AE492" t="str">
        <f t="shared" si="14"/>
        <v>2012-11</v>
      </c>
      <c r="AG492" s="36">
        <v>42163.0</v>
      </c>
      <c r="AH492" s="4">
        <v>0.699382083873</v>
      </c>
      <c r="AJ492" s="48" t="str">
        <f t="shared" si="16"/>
        <v>2015-06</v>
      </c>
      <c r="AL492" s="36">
        <v>41985.0</v>
      </c>
      <c r="AM492" s="4">
        <v>0.757400876584</v>
      </c>
      <c r="AO492" s="49" t="str">
        <f t="shared" si="18"/>
        <v>2014-12</v>
      </c>
    </row>
    <row r="493">
      <c r="A493" s="36">
        <v>41239.0</v>
      </c>
      <c r="B493" s="34">
        <v>0.592959227375</v>
      </c>
      <c r="C493" s="36">
        <v>42710.0</v>
      </c>
      <c r="D493" t="str">
        <f t="shared" si="6"/>
        <v>2012-11</v>
      </c>
      <c r="E493" s="44" t="str">
        <f t="shared" si="7"/>
        <v>2016-12</v>
      </c>
      <c r="F493" s="63"/>
      <c r="G493" s="36">
        <v>41623.0</v>
      </c>
      <c r="H493" s="34">
        <v>0.730179344816</v>
      </c>
      <c r="J493" t="str">
        <f t="shared" si="8"/>
        <v>2013-12</v>
      </c>
      <c r="K493" s="44"/>
      <c r="L493" s="46">
        <v>41997.0</v>
      </c>
      <c r="M493" s="4">
        <v>0.659267398955</v>
      </c>
      <c r="O493" t="str">
        <f t="shared" si="10"/>
        <v>2014-12</v>
      </c>
      <c r="Q493" s="36">
        <v>42832.0</v>
      </c>
      <c r="R493" s="4">
        <v>0.558766347306</v>
      </c>
      <c r="T493" t="str">
        <f t="shared" si="12"/>
        <v>2017-04</v>
      </c>
      <c r="AB493" s="36">
        <v>41247.0</v>
      </c>
      <c r="AC493" s="4">
        <v>0.758161167241</v>
      </c>
      <c r="AE493" t="str">
        <f t="shared" si="14"/>
        <v>2012-12</v>
      </c>
      <c r="AG493" s="36">
        <v>42164.0</v>
      </c>
      <c r="AH493" s="4">
        <v>0.708081650386</v>
      </c>
      <c r="AJ493" s="48" t="str">
        <f t="shared" si="16"/>
        <v>2015-06</v>
      </c>
      <c r="AL493" s="36">
        <v>41986.0</v>
      </c>
      <c r="AM493" s="4">
        <v>0.568400277905</v>
      </c>
      <c r="AO493" s="49" t="str">
        <f t="shared" si="18"/>
        <v>2014-12</v>
      </c>
    </row>
    <row r="494">
      <c r="A494" s="36">
        <v>41245.0</v>
      </c>
      <c r="B494" s="34">
        <v>0.658398493717</v>
      </c>
      <c r="C494" s="36">
        <v>42738.0</v>
      </c>
      <c r="D494" t="str">
        <f t="shared" si="6"/>
        <v>2012-12</v>
      </c>
      <c r="E494" s="44" t="str">
        <f t="shared" si="7"/>
        <v>2017-01</v>
      </c>
      <c r="F494" s="63"/>
      <c r="G494" s="36">
        <v>41624.0</v>
      </c>
      <c r="H494" s="34">
        <v>0.740495340739</v>
      </c>
      <c r="J494" t="str">
        <f t="shared" si="8"/>
        <v>2013-12</v>
      </c>
      <c r="K494" s="44"/>
      <c r="L494" s="46">
        <v>41998.0</v>
      </c>
      <c r="M494" s="4">
        <v>0.469973600856</v>
      </c>
      <c r="O494" t="str">
        <f t="shared" si="10"/>
        <v>2014-12</v>
      </c>
      <c r="Q494" s="36">
        <v>42838.0</v>
      </c>
      <c r="R494" s="4">
        <v>0.680266802719</v>
      </c>
      <c r="T494" t="str">
        <f t="shared" si="12"/>
        <v>2017-04</v>
      </c>
      <c r="AB494" s="36">
        <v>41248.0</v>
      </c>
      <c r="AC494" s="4">
        <v>0.790634342013</v>
      </c>
      <c r="AE494" t="str">
        <f t="shared" si="14"/>
        <v>2012-12</v>
      </c>
      <c r="AG494" s="36">
        <v>42170.0</v>
      </c>
      <c r="AH494" s="4">
        <v>0.647373348101</v>
      </c>
      <c r="AJ494" s="48" t="str">
        <f t="shared" si="16"/>
        <v>2015-06</v>
      </c>
      <c r="AL494" s="36">
        <v>41992.0</v>
      </c>
      <c r="AM494" s="4">
        <v>0.6838158247</v>
      </c>
      <c r="AO494" s="49" t="str">
        <f t="shared" si="18"/>
        <v>2014-12</v>
      </c>
    </row>
    <row r="495">
      <c r="A495" s="36">
        <v>41246.0</v>
      </c>
      <c r="B495" s="34">
        <v>0.686291044874</v>
      </c>
      <c r="C495" s="36">
        <v>42740.0</v>
      </c>
      <c r="D495" t="str">
        <f t="shared" si="6"/>
        <v>2012-12</v>
      </c>
      <c r="E495" s="44" t="str">
        <f t="shared" si="7"/>
        <v>2017-01</v>
      </c>
      <c r="F495" s="63"/>
      <c r="G495" s="36">
        <v>41630.0</v>
      </c>
      <c r="H495" s="34">
        <v>0.770482989747</v>
      </c>
      <c r="J495" t="str">
        <f t="shared" si="8"/>
        <v>2013-12</v>
      </c>
      <c r="K495" s="44"/>
      <c r="L495" s="46">
        <v>42004.0</v>
      </c>
      <c r="M495" s="4">
        <v>0.754614554421</v>
      </c>
      <c r="O495" t="str">
        <f t="shared" si="10"/>
        <v>2014-12</v>
      </c>
      <c r="Q495" s="36">
        <v>42839.0</v>
      </c>
      <c r="R495" s="4">
        <v>0.610598071858</v>
      </c>
      <c r="T495" t="str">
        <f t="shared" si="12"/>
        <v>2017-04</v>
      </c>
      <c r="AB495" s="36">
        <v>41254.0</v>
      </c>
      <c r="AC495" s="4">
        <v>0.737083904752</v>
      </c>
      <c r="AE495" t="str">
        <f t="shared" si="14"/>
        <v>2012-12</v>
      </c>
      <c r="AG495" s="36">
        <v>42171.0</v>
      </c>
      <c r="AH495" s="4">
        <v>0.701439568766</v>
      </c>
      <c r="AJ495" s="48" t="str">
        <f t="shared" si="16"/>
        <v>2015-06</v>
      </c>
      <c r="AL495" s="36">
        <v>41993.0</v>
      </c>
      <c r="AM495" s="4">
        <v>0.826009119954</v>
      </c>
      <c r="AO495" s="49" t="str">
        <f t="shared" si="18"/>
        <v>2014-12</v>
      </c>
    </row>
    <row r="496">
      <c r="A496" s="36">
        <v>41252.0</v>
      </c>
      <c r="B496" s="34">
        <v>0.651686723242</v>
      </c>
      <c r="C496" s="36">
        <v>42766.0</v>
      </c>
      <c r="D496" t="str">
        <f t="shared" si="6"/>
        <v>2012-12</v>
      </c>
      <c r="E496" s="44" t="str">
        <f t="shared" si="7"/>
        <v>2017-01</v>
      </c>
      <c r="F496" s="63"/>
      <c r="G496" s="36">
        <v>41631.0</v>
      </c>
      <c r="H496" s="34">
        <v>0.794453140291</v>
      </c>
      <c r="J496" t="str">
        <f t="shared" si="8"/>
        <v>2013-12</v>
      </c>
      <c r="K496" s="44"/>
      <c r="L496" s="46">
        <v>42005.0</v>
      </c>
      <c r="M496" s="4">
        <v>0.531264425685</v>
      </c>
      <c r="O496" t="str">
        <f t="shared" si="10"/>
        <v>2015-01</v>
      </c>
      <c r="Q496" s="36">
        <v>42845.0</v>
      </c>
      <c r="R496" s="4">
        <v>0.748506819071</v>
      </c>
      <c r="T496" t="str">
        <f t="shared" si="12"/>
        <v>2017-04</v>
      </c>
      <c r="AB496" s="36">
        <v>41255.0</v>
      </c>
      <c r="AC496" s="4">
        <v>0.766794758496</v>
      </c>
      <c r="AE496" t="str">
        <f t="shared" si="14"/>
        <v>2012-12</v>
      </c>
      <c r="AG496" s="36">
        <v>42177.0</v>
      </c>
      <c r="AH496" s="4">
        <v>0.693622556747</v>
      </c>
      <c r="AJ496" s="48" t="str">
        <f t="shared" si="16"/>
        <v>2015-06</v>
      </c>
      <c r="AL496" s="36">
        <v>41998.0</v>
      </c>
      <c r="AM496" s="4">
        <v>0.648149594661</v>
      </c>
      <c r="AO496" s="49" t="str">
        <f t="shared" si="18"/>
        <v>2014-12</v>
      </c>
    </row>
    <row r="497">
      <c r="A497" s="36">
        <v>41253.0</v>
      </c>
      <c r="B497" s="34">
        <v>0.73940914658</v>
      </c>
      <c r="C497" s="36">
        <v>42788.0</v>
      </c>
      <c r="D497" t="str">
        <f t="shared" si="6"/>
        <v>2012-12</v>
      </c>
      <c r="E497" s="44" t="str">
        <f t="shared" si="7"/>
        <v>2017-02</v>
      </c>
      <c r="F497" s="63"/>
      <c r="G497" s="36">
        <v>41637.0</v>
      </c>
      <c r="H497" s="34">
        <v>0.776626439253</v>
      </c>
      <c r="J497" t="str">
        <f t="shared" si="8"/>
        <v>2013-12</v>
      </c>
      <c r="K497" s="44"/>
      <c r="L497" s="46">
        <v>42011.0</v>
      </c>
      <c r="M497" s="4">
        <v>0.697671886014</v>
      </c>
      <c r="O497" t="str">
        <f t="shared" si="10"/>
        <v>2015-01</v>
      </c>
      <c r="Q497" s="36">
        <v>42846.0</v>
      </c>
      <c r="R497" s="4">
        <v>0.746841895487</v>
      </c>
      <c r="T497" t="str">
        <f t="shared" si="12"/>
        <v>2017-04</v>
      </c>
      <c r="AB497" s="36">
        <v>41261.0</v>
      </c>
      <c r="AC497" s="4">
        <v>0.756727500961</v>
      </c>
      <c r="AE497" t="str">
        <f t="shared" si="14"/>
        <v>2012-12</v>
      </c>
      <c r="AG497" s="36">
        <v>42178.0</v>
      </c>
      <c r="AH497" s="4">
        <v>0.723880901662</v>
      </c>
      <c r="AJ497" s="48" t="str">
        <f t="shared" si="16"/>
        <v>2015-06</v>
      </c>
      <c r="AL497" s="36">
        <v>41999.0</v>
      </c>
      <c r="AM497" s="4">
        <v>0.710664395059</v>
      </c>
      <c r="AO497" s="49" t="str">
        <f t="shared" si="18"/>
        <v>2014-12</v>
      </c>
    </row>
    <row r="498">
      <c r="A498" s="36">
        <v>41259.0</v>
      </c>
      <c r="B498" s="34">
        <v>0.721892394616</v>
      </c>
      <c r="C498" s="36">
        <v>42815.0</v>
      </c>
      <c r="D498" t="str">
        <f t="shared" si="6"/>
        <v>2012-12</v>
      </c>
      <c r="E498" s="44" t="str">
        <f t="shared" si="7"/>
        <v>2017-03</v>
      </c>
      <c r="F498" s="63"/>
      <c r="G498" s="36">
        <v>41638.0</v>
      </c>
      <c r="H498" s="34">
        <v>0.662806047691</v>
      </c>
      <c r="J498" t="str">
        <f t="shared" si="8"/>
        <v>2013-12</v>
      </c>
      <c r="K498" s="44"/>
      <c r="L498" s="46">
        <v>42012.0</v>
      </c>
      <c r="M498" s="4">
        <v>0.68526852636</v>
      </c>
      <c r="O498" t="str">
        <f t="shared" si="10"/>
        <v>2015-01</v>
      </c>
      <c r="Q498" s="36">
        <v>42852.0</v>
      </c>
      <c r="R498" s="4">
        <v>0.689455815779</v>
      </c>
      <c r="T498" t="str">
        <f t="shared" si="12"/>
        <v>2017-04</v>
      </c>
      <c r="AB498" s="36">
        <v>41267.0</v>
      </c>
      <c r="AC498" s="4">
        <v>0.816430208761</v>
      </c>
      <c r="AE498" t="str">
        <f t="shared" si="14"/>
        <v>2012-12</v>
      </c>
      <c r="AG498" s="36">
        <v>42184.0</v>
      </c>
      <c r="AH498" s="4">
        <v>0.695604074176</v>
      </c>
      <c r="AJ498" s="48" t="str">
        <f t="shared" si="16"/>
        <v>2015-06</v>
      </c>
      <c r="AL498" s="36">
        <v>42000.0</v>
      </c>
      <c r="AM498" s="4">
        <v>0.832349690203</v>
      </c>
      <c r="AO498" s="49" t="str">
        <f t="shared" si="18"/>
        <v>2014-12</v>
      </c>
    </row>
    <row r="499">
      <c r="A499" s="36">
        <v>41260.0</v>
      </c>
      <c r="B499" s="34">
        <v>0.758416156518</v>
      </c>
      <c r="C499" s="36">
        <v>42829.0</v>
      </c>
      <c r="D499" t="str">
        <f t="shared" si="6"/>
        <v>2012-12</v>
      </c>
      <c r="E499" s="44" t="str">
        <f t="shared" si="7"/>
        <v>2017-04</v>
      </c>
      <c r="F499" s="63"/>
      <c r="G499" s="36">
        <v>41644.0</v>
      </c>
      <c r="H499" s="34">
        <v>0.740808711921</v>
      </c>
      <c r="J499" t="str">
        <f t="shared" si="8"/>
        <v>2014-01</v>
      </c>
      <c r="K499" s="44"/>
      <c r="L499" s="46">
        <v>42018.0</v>
      </c>
      <c r="M499" s="4">
        <v>0.798818111597</v>
      </c>
      <c r="O499" t="str">
        <f t="shared" si="10"/>
        <v>2015-01</v>
      </c>
      <c r="Q499" s="36">
        <v>42853.0</v>
      </c>
      <c r="R499" s="4">
        <v>0.743228587186</v>
      </c>
      <c r="T499" t="str">
        <f t="shared" si="12"/>
        <v>2017-04</v>
      </c>
      <c r="AB499" s="36">
        <v>41268.0</v>
      </c>
      <c r="AC499" s="4">
        <v>0.706847747075</v>
      </c>
      <c r="AE499" t="str">
        <f t="shared" si="14"/>
        <v>2012-12</v>
      </c>
      <c r="AG499" s="36">
        <v>42185.0</v>
      </c>
      <c r="AH499" s="4">
        <v>0.744956728093</v>
      </c>
      <c r="AJ499" s="48" t="str">
        <f t="shared" si="16"/>
        <v>2015-06</v>
      </c>
      <c r="AL499" s="36">
        <v>42006.0</v>
      </c>
      <c r="AM499" s="4">
        <v>0.708034978087</v>
      </c>
      <c r="AO499" s="49" t="str">
        <f t="shared" si="18"/>
        <v>2015-01</v>
      </c>
    </row>
    <row r="500">
      <c r="A500" s="36">
        <v>41266.0</v>
      </c>
      <c r="B500" s="34">
        <v>0.727409649384</v>
      </c>
      <c r="C500" s="36">
        <v>42857.0</v>
      </c>
      <c r="D500" t="str">
        <f t="shared" si="6"/>
        <v>2012-12</v>
      </c>
      <c r="E500" s="44" t="str">
        <f t="shared" si="7"/>
        <v>2017-05</v>
      </c>
      <c r="F500" s="63"/>
      <c r="G500" s="36">
        <v>41645.0</v>
      </c>
      <c r="H500" s="34">
        <v>0.630240855515</v>
      </c>
      <c r="J500" t="str">
        <f t="shared" si="8"/>
        <v>2014-01</v>
      </c>
      <c r="K500" s="44"/>
      <c r="L500" s="46">
        <v>42019.0</v>
      </c>
      <c r="M500" s="4">
        <v>0.516801863622</v>
      </c>
      <c r="O500" t="str">
        <f t="shared" si="10"/>
        <v>2015-01</v>
      </c>
      <c r="Q500" s="36">
        <v>42859.0</v>
      </c>
      <c r="R500" s="4">
        <v>0.715663326211</v>
      </c>
      <c r="T500" t="str">
        <f t="shared" si="12"/>
        <v>2017-05</v>
      </c>
      <c r="AB500" s="36">
        <v>41269.0</v>
      </c>
      <c r="AC500" s="4">
        <v>0.83237737537</v>
      </c>
      <c r="AE500" t="str">
        <f t="shared" si="14"/>
        <v>2012-12</v>
      </c>
      <c r="AG500" s="36">
        <v>42191.0</v>
      </c>
      <c r="AH500" s="4">
        <v>0.779265283986</v>
      </c>
      <c r="AJ500" s="48" t="str">
        <f t="shared" si="16"/>
        <v>2015-07</v>
      </c>
      <c r="AL500" s="36">
        <v>42007.0</v>
      </c>
      <c r="AM500" s="4">
        <v>0.495325435335</v>
      </c>
      <c r="AO500" s="49" t="str">
        <f t="shared" si="18"/>
        <v>2015-01</v>
      </c>
    </row>
    <row r="501">
      <c r="A501" s="36">
        <v>41267.0</v>
      </c>
      <c r="B501" s="34">
        <v>0.744631807202</v>
      </c>
      <c r="C501" s="36">
        <v>42892.0</v>
      </c>
      <c r="D501" t="str">
        <f t="shared" si="6"/>
        <v>2012-12</v>
      </c>
      <c r="E501" s="44" t="str">
        <f t="shared" si="7"/>
        <v>2017-06</v>
      </c>
      <c r="F501" s="63"/>
      <c r="G501" s="36">
        <v>41651.0</v>
      </c>
      <c r="H501" s="34">
        <v>0.764012803429</v>
      </c>
      <c r="J501" t="str">
        <f t="shared" si="8"/>
        <v>2014-01</v>
      </c>
      <c r="K501" s="44"/>
      <c r="L501" s="46">
        <v>42025.0</v>
      </c>
      <c r="M501" s="4">
        <v>0.744228041803</v>
      </c>
      <c r="O501" t="str">
        <f t="shared" si="10"/>
        <v>2015-01</v>
      </c>
      <c r="Q501" s="36">
        <v>42860.0</v>
      </c>
      <c r="R501" s="4">
        <v>0.790293692024</v>
      </c>
      <c r="T501" t="str">
        <f t="shared" si="12"/>
        <v>2017-05</v>
      </c>
      <c r="AB501" s="36">
        <v>41274.0</v>
      </c>
      <c r="AC501" s="4">
        <v>0.687689955245</v>
      </c>
      <c r="AE501" t="str">
        <f t="shared" si="14"/>
        <v>2012-12</v>
      </c>
      <c r="AG501" s="36">
        <v>42192.0</v>
      </c>
      <c r="AH501" s="4">
        <v>0.705854726699</v>
      </c>
      <c r="AJ501" s="48" t="str">
        <f t="shared" si="16"/>
        <v>2015-07</v>
      </c>
      <c r="AL501" s="36">
        <v>42013.0</v>
      </c>
      <c r="AM501" s="4">
        <v>0.659231553919</v>
      </c>
      <c r="AO501" s="49" t="str">
        <f t="shared" si="18"/>
        <v>2015-01</v>
      </c>
    </row>
    <row r="502">
      <c r="A502" s="36">
        <v>41273.0</v>
      </c>
      <c r="B502" s="34">
        <v>0.652711059848</v>
      </c>
      <c r="C502" s="36">
        <v>42927.0</v>
      </c>
      <c r="D502" t="str">
        <f t="shared" si="6"/>
        <v>2012-12</v>
      </c>
      <c r="E502" s="44" t="str">
        <f t="shared" si="7"/>
        <v>2017-07</v>
      </c>
      <c r="F502" s="63"/>
      <c r="G502" s="36">
        <v>41652.0</v>
      </c>
      <c r="H502" s="34">
        <v>0.730796369502</v>
      </c>
      <c r="J502" t="str">
        <f t="shared" si="8"/>
        <v>2014-01</v>
      </c>
      <c r="K502" s="44"/>
      <c r="L502" s="46">
        <v>42026.0</v>
      </c>
      <c r="M502" s="4">
        <v>0.322489985724</v>
      </c>
      <c r="O502" t="str">
        <f t="shared" si="10"/>
        <v>2015-01</v>
      </c>
      <c r="Q502" s="36">
        <v>42866.0</v>
      </c>
      <c r="R502" s="4">
        <v>0.727810206237</v>
      </c>
      <c r="T502" t="str">
        <f t="shared" si="12"/>
        <v>2017-05</v>
      </c>
      <c r="AB502" s="36">
        <v>41275.0</v>
      </c>
      <c r="AC502" s="4">
        <v>0.708379194547</v>
      </c>
      <c r="AE502" t="str">
        <f t="shared" si="14"/>
        <v>2013-01</v>
      </c>
      <c r="AG502" s="36">
        <v>42198.0</v>
      </c>
      <c r="AH502" s="4">
        <v>0.695150476303</v>
      </c>
      <c r="AJ502" s="48" t="str">
        <f t="shared" si="16"/>
        <v>2015-07</v>
      </c>
      <c r="AL502" s="36">
        <v>42014.0</v>
      </c>
      <c r="AM502" s="4">
        <v>0.70926515817</v>
      </c>
      <c r="AO502" s="49" t="str">
        <f t="shared" si="18"/>
        <v>2015-01</v>
      </c>
    </row>
    <row r="503">
      <c r="A503" s="36">
        <v>41274.0</v>
      </c>
      <c r="B503" s="34">
        <v>0.517772567459</v>
      </c>
      <c r="C503" s="36">
        <v>42948.0</v>
      </c>
      <c r="D503" t="str">
        <f t="shared" si="6"/>
        <v>2012-12</v>
      </c>
      <c r="E503" s="44" t="str">
        <f t="shared" si="7"/>
        <v>2017-08</v>
      </c>
      <c r="F503" s="63"/>
      <c r="G503" s="36">
        <v>41658.0</v>
      </c>
      <c r="H503" s="34">
        <v>0.712414778476</v>
      </c>
      <c r="J503" t="str">
        <f t="shared" si="8"/>
        <v>2014-01</v>
      </c>
      <c r="K503" s="44"/>
      <c r="L503" s="46">
        <v>42032.0</v>
      </c>
      <c r="M503" s="4">
        <v>0.684686159104</v>
      </c>
      <c r="O503" t="str">
        <f t="shared" si="10"/>
        <v>2015-01</v>
      </c>
      <c r="Q503" s="36">
        <v>42867.0</v>
      </c>
      <c r="R503" s="4">
        <v>0.768288356517</v>
      </c>
      <c r="T503" t="str">
        <f t="shared" si="12"/>
        <v>2017-05</v>
      </c>
      <c r="AB503" s="36">
        <v>41282.0</v>
      </c>
      <c r="AC503" s="4">
        <v>0.592006538939</v>
      </c>
      <c r="AE503" t="str">
        <f t="shared" si="14"/>
        <v>2013-01</v>
      </c>
      <c r="AG503" s="36">
        <v>42199.0</v>
      </c>
      <c r="AH503" s="4">
        <v>0.748416730219</v>
      </c>
      <c r="AJ503" s="48" t="str">
        <f t="shared" si="16"/>
        <v>2015-07</v>
      </c>
      <c r="AL503" s="36">
        <v>42020.0</v>
      </c>
      <c r="AM503" s="4">
        <v>0.616713363989</v>
      </c>
      <c r="AO503" s="49" t="str">
        <f t="shared" si="18"/>
        <v>2015-01</v>
      </c>
    </row>
    <row r="504">
      <c r="A504" s="36">
        <v>41280.0</v>
      </c>
      <c r="B504" s="34">
        <v>0.62571569099</v>
      </c>
      <c r="C504" s="36">
        <v>42983.0</v>
      </c>
      <c r="D504" t="str">
        <f t="shared" si="6"/>
        <v>2013-01</v>
      </c>
      <c r="E504" s="44" t="str">
        <f t="shared" si="7"/>
        <v>2017-09</v>
      </c>
      <c r="F504" s="63"/>
      <c r="G504" s="36">
        <v>41659.0</v>
      </c>
      <c r="H504" s="34">
        <v>0.665198139944</v>
      </c>
      <c r="J504" t="str">
        <f t="shared" si="8"/>
        <v>2014-01</v>
      </c>
      <c r="K504" s="44"/>
      <c r="L504" s="46">
        <v>42033.0</v>
      </c>
      <c r="M504" s="4">
        <v>0.531495567983</v>
      </c>
      <c r="O504" t="str">
        <f t="shared" si="10"/>
        <v>2015-01</v>
      </c>
      <c r="Q504" s="36">
        <v>42873.0</v>
      </c>
      <c r="R504" s="4">
        <v>0.778295758024</v>
      </c>
      <c r="T504" t="str">
        <f t="shared" si="12"/>
        <v>2017-05</v>
      </c>
      <c r="AB504" s="36">
        <v>41289.0</v>
      </c>
      <c r="AC504" s="4">
        <v>0.716187349713</v>
      </c>
      <c r="AE504" t="str">
        <f t="shared" si="14"/>
        <v>2013-01</v>
      </c>
      <c r="AG504" s="36">
        <v>42205.0</v>
      </c>
      <c r="AH504" s="4">
        <v>0.656834559916</v>
      </c>
      <c r="AJ504" s="48" t="str">
        <f t="shared" si="16"/>
        <v>2015-07</v>
      </c>
      <c r="AL504" s="36">
        <v>42021.0</v>
      </c>
      <c r="AM504" s="4">
        <v>0.485546747273</v>
      </c>
      <c r="AO504" s="49" t="str">
        <f t="shared" si="18"/>
        <v>2015-01</v>
      </c>
    </row>
    <row r="505">
      <c r="A505" s="36">
        <v>41281.0</v>
      </c>
      <c r="B505" s="34">
        <v>0.75437440361</v>
      </c>
      <c r="C505" s="36">
        <v>42668.0</v>
      </c>
      <c r="D505" t="str">
        <f t="shared" si="6"/>
        <v>2013-01</v>
      </c>
      <c r="E505" s="44" t="str">
        <f t="shared" si="7"/>
        <v>2016-10</v>
      </c>
      <c r="F505" s="63"/>
      <c r="G505" s="36">
        <v>41665.0</v>
      </c>
      <c r="H505" s="34">
        <v>0.719938773521</v>
      </c>
      <c r="J505" t="str">
        <f t="shared" si="8"/>
        <v>2014-01</v>
      </c>
      <c r="K505" s="44"/>
      <c r="L505" s="46">
        <v>42039.0</v>
      </c>
      <c r="M505" s="4">
        <v>0.71977717789</v>
      </c>
      <c r="O505" t="str">
        <f t="shared" si="10"/>
        <v>2015-02</v>
      </c>
      <c r="Q505" s="36">
        <v>42874.0</v>
      </c>
      <c r="R505" s="4">
        <v>0.676381159029</v>
      </c>
      <c r="T505" t="str">
        <f t="shared" si="12"/>
        <v>2017-05</v>
      </c>
      <c r="AB505" s="36">
        <v>41290.0</v>
      </c>
      <c r="AC505" s="4">
        <v>0.716879323779</v>
      </c>
      <c r="AE505" t="str">
        <f t="shared" si="14"/>
        <v>2013-01</v>
      </c>
      <c r="AG505" s="36">
        <v>42206.0</v>
      </c>
      <c r="AH505" s="4">
        <v>0.73128276358</v>
      </c>
      <c r="AJ505" s="48" t="str">
        <f t="shared" si="16"/>
        <v>2015-07</v>
      </c>
      <c r="AL505" s="36">
        <v>42027.0</v>
      </c>
      <c r="AM505" s="4">
        <v>0.703566894625</v>
      </c>
      <c r="AO505" s="49" t="str">
        <f t="shared" si="18"/>
        <v>2015-01</v>
      </c>
    </row>
    <row r="506">
      <c r="A506" s="36">
        <v>41287.0</v>
      </c>
      <c r="B506" s="34">
        <v>0.67517661852</v>
      </c>
      <c r="C506" s="36">
        <v>42682.0</v>
      </c>
      <c r="D506" t="str">
        <f t="shared" si="6"/>
        <v>2013-01</v>
      </c>
      <c r="E506" s="44" t="str">
        <f t="shared" si="7"/>
        <v>2016-11</v>
      </c>
      <c r="F506" s="63"/>
      <c r="G506" s="36">
        <v>41666.0</v>
      </c>
      <c r="H506" s="34">
        <v>0.742127740764</v>
      </c>
      <c r="J506" t="str">
        <f t="shared" si="8"/>
        <v>2014-01</v>
      </c>
      <c r="K506" s="44"/>
      <c r="L506" s="46">
        <v>42040.0</v>
      </c>
      <c r="M506" s="4">
        <v>0.784188412151</v>
      </c>
      <c r="O506" t="str">
        <f t="shared" si="10"/>
        <v>2015-02</v>
      </c>
      <c r="Q506" s="36">
        <v>42880.0</v>
      </c>
      <c r="R506" s="4">
        <v>0.747572014139</v>
      </c>
      <c r="T506" t="str">
        <f t="shared" si="12"/>
        <v>2017-05</v>
      </c>
      <c r="AB506" s="36">
        <v>41296.0</v>
      </c>
      <c r="AC506" s="4">
        <v>0.739001216727</v>
      </c>
      <c r="AE506" t="str">
        <f t="shared" si="14"/>
        <v>2013-01</v>
      </c>
      <c r="AG506" s="36">
        <v>42212.0</v>
      </c>
      <c r="AH506" s="4">
        <v>0.693317089497</v>
      </c>
      <c r="AJ506" s="48" t="str">
        <f t="shared" si="16"/>
        <v>2015-07</v>
      </c>
      <c r="AL506" s="36">
        <v>42028.0</v>
      </c>
      <c r="AM506" s="4">
        <v>0.752099995603</v>
      </c>
      <c r="AO506" s="49" t="str">
        <f t="shared" si="18"/>
        <v>2015-01</v>
      </c>
    </row>
    <row r="507">
      <c r="A507" s="36">
        <v>41288.0</v>
      </c>
      <c r="B507" s="34">
        <v>0.629273926346</v>
      </c>
      <c r="C507" s="36">
        <v>42696.0</v>
      </c>
      <c r="D507" t="str">
        <f t="shared" si="6"/>
        <v>2013-01</v>
      </c>
      <c r="E507" s="44" t="str">
        <f t="shared" si="7"/>
        <v>2016-11</v>
      </c>
      <c r="F507" s="63"/>
      <c r="G507" s="36">
        <v>41672.0</v>
      </c>
      <c r="H507" s="34">
        <v>0.697240755401</v>
      </c>
      <c r="J507" t="str">
        <f t="shared" si="8"/>
        <v>2014-02</v>
      </c>
      <c r="K507" s="44"/>
      <c r="L507" s="46">
        <v>42046.0</v>
      </c>
      <c r="M507" s="4">
        <v>0.720592339173</v>
      </c>
      <c r="O507" t="str">
        <f t="shared" si="10"/>
        <v>2015-02</v>
      </c>
      <c r="Q507" s="36">
        <v>42881.0</v>
      </c>
      <c r="R507" s="4">
        <v>0.840025333999</v>
      </c>
      <c r="T507" t="str">
        <f t="shared" si="12"/>
        <v>2017-05</v>
      </c>
      <c r="AB507" s="36">
        <v>41297.0</v>
      </c>
      <c r="AC507" s="4">
        <v>0.577436851355</v>
      </c>
      <c r="AE507" t="str">
        <f t="shared" si="14"/>
        <v>2013-01</v>
      </c>
      <c r="AG507" s="36">
        <v>42213.0</v>
      </c>
      <c r="AH507" s="4">
        <v>0.758121777631</v>
      </c>
      <c r="AJ507" s="48" t="str">
        <f t="shared" si="16"/>
        <v>2015-07</v>
      </c>
      <c r="AL507" s="36">
        <v>42034.0</v>
      </c>
      <c r="AM507" s="4">
        <v>0.634965361457</v>
      </c>
      <c r="AO507" s="49" t="str">
        <f t="shared" si="18"/>
        <v>2015-01</v>
      </c>
    </row>
    <row r="508">
      <c r="A508" s="36">
        <v>41294.0</v>
      </c>
      <c r="B508" s="34">
        <v>0.683762727304</v>
      </c>
      <c r="C508" s="36">
        <v>42710.0</v>
      </c>
      <c r="D508" t="str">
        <f t="shared" si="6"/>
        <v>2013-01</v>
      </c>
      <c r="E508" s="44" t="str">
        <f t="shared" si="7"/>
        <v>2016-12</v>
      </c>
      <c r="F508" s="63"/>
      <c r="G508" s="36">
        <v>41673.0</v>
      </c>
      <c r="H508" s="34">
        <v>0.636645286865</v>
      </c>
      <c r="J508" t="str">
        <f t="shared" si="8"/>
        <v>2014-02</v>
      </c>
      <c r="K508" s="44"/>
      <c r="L508" s="46">
        <v>42047.0</v>
      </c>
      <c r="M508" s="4">
        <v>0.694602640113</v>
      </c>
      <c r="O508" t="str">
        <f t="shared" si="10"/>
        <v>2015-02</v>
      </c>
      <c r="Q508" s="36">
        <v>42887.0</v>
      </c>
      <c r="R508" s="4">
        <v>0.730824938394</v>
      </c>
      <c r="T508" t="str">
        <f t="shared" si="12"/>
        <v>2017-06</v>
      </c>
      <c r="AB508" s="36">
        <v>41303.0</v>
      </c>
      <c r="AC508" s="4">
        <v>0.740630765442</v>
      </c>
      <c r="AE508" t="str">
        <f t="shared" si="14"/>
        <v>2013-01</v>
      </c>
      <c r="AG508" s="36">
        <v>42219.0</v>
      </c>
      <c r="AH508" s="4">
        <v>0.619471656385</v>
      </c>
      <c r="AJ508" s="48" t="str">
        <f t="shared" si="16"/>
        <v>2015-08</v>
      </c>
      <c r="AL508" s="36">
        <v>42035.0</v>
      </c>
      <c r="AM508" s="4">
        <v>0.589823689045</v>
      </c>
      <c r="AO508" s="49" t="str">
        <f t="shared" si="18"/>
        <v>2015-01</v>
      </c>
    </row>
    <row r="509">
      <c r="A509" s="36">
        <v>41295.0</v>
      </c>
      <c r="B509" s="34">
        <v>0.681654643473</v>
      </c>
      <c r="C509" s="36">
        <v>42724.0</v>
      </c>
      <c r="D509" t="str">
        <f t="shared" si="6"/>
        <v>2013-01</v>
      </c>
      <c r="E509" s="44" t="str">
        <f t="shared" si="7"/>
        <v>2016-12</v>
      </c>
      <c r="F509" s="63"/>
      <c r="G509" s="36">
        <v>41679.0</v>
      </c>
      <c r="H509" s="34">
        <v>0.726159571744</v>
      </c>
      <c r="J509" t="str">
        <f t="shared" si="8"/>
        <v>2014-02</v>
      </c>
      <c r="K509" s="44"/>
      <c r="L509" s="46">
        <v>42053.0</v>
      </c>
      <c r="M509" s="4">
        <v>0.726805239998</v>
      </c>
      <c r="O509" t="str">
        <f t="shared" si="10"/>
        <v>2015-02</v>
      </c>
      <c r="Q509" s="36">
        <v>42888.0</v>
      </c>
      <c r="R509" s="4">
        <v>0.747604230425</v>
      </c>
      <c r="T509" t="str">
        <f t="shared" si="12"/>
        <v>2017-06</v>
      </c>
      <c r="AB509" s="36">
        <v>41304.0</v>
      </c>
      <c r="AC509" s="4">
        <v>0.659050921704</v>
      </c>
      <c r="AE509" t="str">
        <f t="shared" si="14"/>
        <v>2013-01</v>
      </c>
      <c r="AG509" s="36">
        <v>42220.0</v>
      </c>
      <c r="AH509" s="4">
        <v>0.674382651852</v>
      </c>
      <c r="AJ509" s="48" t="str">
        <f t="shared" si="16"/>
        <v>2015-08</v>
      </c>
      <c r="AL509" s="36">
        <v>42041.0</v>
      </c>
      <c r="AM509" s="4">
        <v>0.775254161819</v>
      </c>
      <c r="AO509" s="49" t="str">
        <f t="shared" si="18"/>
        <v>2015-02</v>
      </c>
    </row>
    <row r="510">
      <c r="A510" s="36">
        <v>41301.0</v>
      </c>
      <c r="B510" s="34">
        <v>0.708005979828</v>
      </c>
      <c r="C510" s="36">
        <v>42739.0</v>
      </c>
      <c r="D510" t="str">
        <f t="shared" si="6"/>
        <v>2013-01</v>
      </c>
      <c r="E510" s="44" t="str">
        <f t="shared" si="7"/>
        <v>2017-01</v>
      </c>
      <c r="F510" s="63"/>
      <c r="G510" s="36">
        <v>41680.0</v>
      </c>
      <c r="H510" s="34">
        <v>0.744183615002</v>
      </c>
      <c r="J510" t="str">
        <f t="shared" si="8"/>
        <v>2014-02</v>
      </c>
      <c r="K510" s="44"/>
      <c r="L510" s="46">
        <v>42054.0</v>
      </c>
      <c r="M510" s="4">
        <v>0.768437915977</v>
      </c>
      <c r="O510" t="str">
        <f t="shared" si="10"/>
        <v>2015-02</v>
      </c>
      <c r="Q510" s="36">
        <v>42894.0</v>
      </c>
      <c r="R510" s="4">
        <v>0.785758318671</v>
      </c>
      <c r="T510" t="str">
        <f t="shared" si="12"/>
        <v>2017-06</v>
      </c>
      <c r="AB510" s="36">
        <v>41310.0</v>
      </c>
      <c r="AC510" s="4">
        <v>0.784180902571</v>
      </c>
      <c r="AE510" t="str">
        <f t="shared" si="14"/>
        <v>2013-02</v>
      </c>
      <c r="AG510" s="36">
        <v>42226.0</v>
      </c>
      <c r="AH510" s="4">
        <v>0.72531396199</v>
      </c>
      <c r="AJ510" s="48" t="str">
        <f t="shared" si="16"/>
        <v>2015-08</v>
      </c>
      <c r="AL510" s="36">
        <v>42042.0</v>
      </c>
      <c r="AM510" s="4">
        <v>0.804643470754</v>
      </c>
      <c r="AO510" s="49" t="str">
        <f t="shared" si="18"/>
        <v>2015-02</v>
      </c>
    </row>
    <row r="511">
      <c r="A511" s="36">
        <v>41302.0</v>
      </c>
      <c r="B511" s="34">
        <v>0.710907925608</v>
      </c>
      <c r="C511" s="36">
        <v>42767.0</v>
      </c>
      <c r="D511" t="str">
        <f t="shared" si="6"/>
        <v>2013-01</v>
      </c>
      <c r="E511" s="44" t="str">
        <f t="shared" si="7"/>
        <v>2017-02</v>
      </c>
      <c r="F511" s="63"/>
      <c r="G511" s="36">
        <v>41686.0</v>
      </c>
      <c r="H511" s="34">
        <v>0.678605803963</v>
      </c>
      <c r="J511" t="str">
        <f t="shared" si="8"/>
        <v>2014-02</v>
      </c>
      <c r="K511" s="44"/>
      <c r="L511" s="46">
        <v>42060.0</v>
      </c>
      <c r="M511" s="4">
        <v>0.799088805251</v>
      </c>
      <c r="O511" t="str">
        <f t="shared" si="10"/>
        <v>2015-02</v>
      </c>
      <c r="Q511" s="36">
        <v>42895.0</v>
      </c>
      <c r="R511" s="4">
        <v>0.599175280675</v>
      </c>
      <c r="T511" t="str">
        <f t="shared" si="12"/>
        <v>2017-06</v>
      </c>
      <c r="AB511" s="36">
        <v>41311.0</v>
      </c>
      <c r="AC511" s="4">
        <v>0.825497078223</v>
      </c>
      <c r="AE511" t="str">
        <f t="shared" si="14"/>
        <v>2013-02</v>
      </c>
      <c r="AG511" s="36">
        <v>42227.0</v>
      </c>
      <c r="AH511" s="4">
        <v>0.726436663273</v>
      </c>
      <c r="AJ511" s="48" t="str">
        <f t="shared" si="16"/>
        <v>2015-08</v>
      </c>
      <c r="AL511" s="36">
        <v>42048.0</v>
      </c>
      <c r="AM511" s="4">
        <v>0.735742531736</v>
      </c>
      <c r="AO511" s="49" t="str">
        <f t="shared" si="18"/>
        <v>2015-02</v>
      </c>
    </row>
    <row r="512">
      <c r="A512" s="36">
        <v>41308.0</v>
      </c>
      <c r="B512" s="34">
        <v>0.637998281771</v>
      </c>
      <c r="C512" s="36">
        <v>42788.0</v>
      </c>
      <c r="D512" t="str">
        <f t="shared" si="6"/>
        <v>2013-02</v>
      </c>
      <c r="E512" s="44" t="str">
        <f t="shared" si="7"/>
        <v>2017-02</v>
      </c>
      <c r="F512" s="63"/>
      <c r="G512" s="36">
        <v>41687.0</v>
      </c>
      <c r="H512" s="34">
        <v>0.736538466179</v>
      </c>
      <c r="J512" t="str">
        <f t="shared" si="8"/>
        <v>2014-02</v>
      </c>
      <c r="K512" s="44"/>
      <c r="L512" s="46">
        <v>42061.0</v>
      </c>
      <c r="M512" s="4">
        <v>0.841323103833</v>
      </c>
      <c r="O512" t="str">
        <f t="shared" si="10"/>
        <v>2015-02</v>
      </c>
      <c r="Q512" s="36">
        <v>42901.0</v>
      </c>
      <c r="R512" s="4">
        <v>0.766846679937</v>
      </c>
      <c r="T512" t="str">
        <f t="shared" si="12"/>
        <v>2017-06</v>
      </c>
      <c r="AB512" s="36">
        <v>41317.0</v>
      </c>
      <c r="AC512" s="4">
        <v>0.730622569661</v>
      </c>
      <c r="AE512" t="str">
        <f t="shared" si="14"/>
        <v>2013-02</v>
      </c>
      <c r="AG512" s="36">
        <v>42233.0</v>
      </c>
      <c r="AH512" s="4">
        <v>0.733835397425</v>
      </c>
      <c r="AJ512" s="48" t="str">
        <f t="shared" si="16"/>
        <v>2015-08</v>
      </c>
      <c r="AL512" s="36">
        <v>42055.0</v>
      </c>
      <c r="AM512" s="4">
        <v>0.760117734751</v>
      </c>
      <c r="AO512" s="49" t="str">
        <f t="shared" si="18"/>
        <v>2015-02</v>
      </c>
    </row>
    <row r="513">
      <c r="A513" s="36">
        <v>41309.0</v>
      </c>
      <c r="B513" s="34">
        <v>0.751545392096</v>
      </c>
      <c r="C513" s="36">
        <v>42795.0</v>
      </c>
      <c r="D513" t="str">
        <f t="shared" si="6"/>
        <v>2013-02</v>
      </c>
      <c r="E513" s="44" t="str">
        <f t="shared" si="7"/>
        <v>2017-03</v>
      </c>
      <c r="F513" s="63"/>
      <c r="G513" s="36">
        <v>41693.0</v>
      </c>
      <c r="H513" s="34">
        <v>0.794149468416</v>
      </c>
      <c r="J513" t="str">
        <f t="shared" si="8"/>
        <v>2014-02</v>
      </c>
      <c r="K513" s="44"/>
      <c r="L513" s="46">
        <v>42067.0</v>
      </c>
      <c r="M513" s="4">
        <v>0.654692790016</v>
      </c>
      <c r="O513" t="str">
        <f t="shared" si="10"/>
        <v>2015-03</v>
      </c>
      <c r="Q513" s="36">
        <v>42902.0</v>
      </c>
      <c r="R513" s="4">
        <v>0.700756502837</v>
      </c>
      <c r="T513" t="str">
        <f t="shared" si="12"/>
        <v>2017-06</v>
      </c>
      <c r="AB513" s="36">
        <v>41318.0</v>
      </c>
      <c r="AC513" s="4">
        <v>0.732255646595</v>
      </c>
      <c r="AE513" t="str">
        <f t="shared" si="14"/>
        <v>2013-02</v>
      </c>
      <c r="AG513" s="36">
        <v>42234.0</v>
      </c>
      <c r="AH513" s="4">
        <v>0.704606499004</v>
      </c>
      <c r="AJ513" s="48" t="str">
        <f t="shared" si="16"/>
        <v>2015-08</v>
      </c>
      <c r="AL513" s="36">
        <v>42056.0</v>
      </c>
      <c r="AM513" s="4">
        <v>0.831595139865</v>
      </c>
      <c r="AO513" s="49" t="str">
        <f t="shared" si="18"/>
        <v>2015-02</v>
      </c>
    </row>
    <row r="514">
      <c r="A514" s="36">
        <v>41315.0</v>
      </c>
      <c r="B514" s="34">
        <v>0.697116184245</v>
      </c>
      <c r="C514" s="36">
        <v>42796.0</v>
      </c>
      <c r="D514" t="str">
        <f t="shared" si="6"/>
        <v>2013-02</v>
      </c>
      <c r="E514" s="44" t="str">
        <f t="shared" si="7"/>
        <v>2017-03</v>
      </c>
      <c r="F514" s="63"/>
      <c r="G514" s="36">
        <v>41694.0</v>
      </c>
      <c r="H514" s="34">
        <v>0.727725554244</v>
      </c>
      <c r="J514" t="str">
        <f t="shared" si="8"/>
        <v>2014-02</v>
      </c>
      <c r="K514" s="44"/>
      <c r="L514" s="46">
        <v>42068.0</v>
      </c>
      <c r="M514" s="4">
        <v>0.67726026316</v>
      </c>
      <c r="O514" t="str">
        <f t="shared" si="10"/>
        <v>2015-03</v>
      </c>
      <c r="Q514" s="36">
        <v>42908.0</v>
      </c>
      <c r="R514" s="4">
        <v>0.748526227905</v>
      </c>
      <c r="T514" t="str">
        <f t="shared" si="12"/>
        <v>2017-06</v>
      </c>
      <c r="AB514" s="36">
        <v>41324.0</v>
      </c>
      <c r="AC514" s="4">
        <v>0.741301723729</v>
      </c>
      <c r="AE514" t="str">
        <f t="shared" si="14"/>
        <v>2013-02</v>
      </c>
      <c r="AG514" s="36">
        <v>42241.0</v>
      </c>
      <c r="AH514" s="4">
        <v>0.678205970035</v>
      </c>
      <c r="AJ514" s="48" t="str">
        <f t="shared" si="16"/>
        <v>2015-08</v>
      </c>
      <c r="AL514" s="36">
        <v>42062.0</v>
      </c>
      <c r="AM514" s="4">
        <v>0.710712234375</v>
      </c>
      <c r="AO514" s="49" t="str">
        <f t="shared" si="18"/>
        <v>2015-02</v>
      </c>
    </row>
    <row r="515">
      <c r="A515" s="36">
        <v>41316.0</v>
      </c>
      <c r="B515" s="34">
        <v>0.793538131247</v>
      </c>
      <c r="C515" s="36">
        <v>42802.0</v>
      </c>
      <c r="D515" t="str">
        <f t="shared" si="6"/>
        <v>2013-02</v>
      </c>
      <c r="E515" s="44" t="str">
        <f t="shared" si="7"/>
        <v>2017-03</v>
      </c>
      <c r="F515" s="63"/>
      <c r="G515" s="36">
        <v>41700.0</v>
      </c>
      <c r="H515" s="34">
        <v>0.753960037665</v>
      </c>
      <c r="J515" t="str">
        <f t="shared" si="8"/>
        <v>2014-03</v>
      </c>
      <c r="K515" s="44"/>
      <c r="L515" s="46">
        <v>42074.0</v>
      </c>
      <c r="M515" s="4">
        <v>0.725362351657</v>
      </c>
      <c r="O515" t="str">
        <f t="shared" si="10"/>
        <v>2015-03</v>
      </c>
      <c r="Q515" s="36">
        <v>42909.0</v>
      </c>
      <c r="R515" s="4">
        <v>0.746612812229</v>
      </c>
      <c r="T515" t="str">
        <f t="shared" si="12"/>
        <v>2017-06</v>
      </c>
      <c r="AB515" s="36">
        <v>41331.0</v>
      </c>
      <c r="AC515" s="4">
        <v>0.662359235156</v>
      </c>
      <c r="AE515" t="str">
        <f t="shared" si="14"/>
        <v>2013-02</v>
      </c>
      <c r="AG515" s="36">
        <v>42248.0</v>
      </c>
      <c r="AH515" s="4">
        <v>0.691747787355</v>
      </c>
      <c r="AJ515" s="48" t="str">
        <f t="shared" si="16"/>
        <v>2015-09</v>
      </c>
      <c r="AL515" s="36">
        <v>42063.0</v>
      </c>
      <c r="AM515" s="4">
        <v>0.754779991584</v>
      </c>
      <c r="AO515" s="49" t="str">
        <f t="shared" si="18"/>
        <v>2015-02</v>
      </c>
    </row>
    <row r="516">
      <c r="A516" s="36">
        <v>41322.0</v>
      </c>
      <c r="B516" s="34">
        <v>0.713252260136</v>
      </c>
      <c r="C516" s="36">
        <v>42808.0</v>
      </c>
      <c r="D516" t="str">
        <f t="shared" si="6"/>
        <v>2013-02</v>
      </c>
      <c r="E516" s="44" t="str">
        <f t="shared" si="7"/>
        <v>2017-03</v>
      </c>
      <c r="F516" s="63"/>
      <c r="G516" s="36">
        <v>41701.0</v>
      </c>
      <c r="H516" s="34">
        <v>0.711453235598</v>
      </c>
      <c r="J516" t="str">
        <f t="shared" si="8"/>
        <v>2014-03</v>
      </c>
      <c r="K516" s="44"/>
      <c r="L516" s="46">
        <v>42075.0</v>
      </c>
      <c r="M516" s="4">
        <v>0.68256736264</v>
      </c>
      <c r="O516" t="str">
        <f t="shared" si="10"/>
        <v>2015-03</v>
      </c>
      <c r="Q516" s="36">
        <v>42915.0</v>
      </c>
      <c r="R516" s="4">
        <v>0.627143863455</v>
      </c>
      <c r="T516" t="str">
        <f t="shared" si="12"/>
        <v>2017-06</v>
      </c>
      <c r="AB516" s="36">
        <v>41332.0</v>
      </c>
      <c r="AC516" s="4">
        <v>0.592106711923</v>
      </c>
      <c r="AE516" t="str">
        <f t="shared" si="14"/>
        <v>2013-02</v>
      </c>
      <c r="AG516" s="36">
        <v>42254.0</v>
      </c>
      <c r="AH516" s="4">
        <v>0.855419391537</v>
      </c>
      <c r="AJ516" s="48" t="str">
        <f t="shared" si="16"/>
        <v>2015-09</v>
      </c>
      <c r="AL516" s="36">
        <v>42069.0</v>
      </c>
      <c r="AM516" s="4">
        <v>0.769961639467</v>
      </c>
      <c r="AO516" s="49" t="str">
        <f t="shared" si="18"/>
        <v>2015-03</v>
      </c>
    </row>
    <row r="517">
      <c r="A517" s="36">
        <v>41323.0</v>
      </c>
      <c r="B517" s="34">
        <v>0.652977886361</v>
      </c>
      <c r="C517" s="36">
        <v>42815.0</v>
      </c>
      <c r="D517" t="str">
        <f t="shared" si="6"/>
        <v>2013-02</v>
      </c>
      <c r="E517" s="44" t="str">
        <f t="shared" si="7"/>
        <v>2017-03</v>
      </c>
      <c r="F517" s="63"/>
      <c r="G517" s="36">
        <v>41707.0</v>
      </c>
      <c r="H517" s="34">
        <v>0.67778344509</v>
      </c>
      <c r="J517" t="str">
        <f t="shared" si="8"/>
        <v>2014-03</v>
      </c>
      <c r="K517" s="44"/>
      <c r="L517" s="46">
        <v>42081.0</v>
      </c>
      <c r="M517" s="4">
        <v>0.737344628011</v>
      </c>
      <c r="O517" t="str">
        <f t="shared" si="10"/>
        <v>2015-03</v>
      </c>
      <c r="Q517" s="36">
        <v>42916.0</v>
      </c>
      <c r="R517" s="4">
        <v>0.691953010024</v>
      </c>
      <c r="T517" t="str">
        <f t="shared" si="12"/>
        <v>2017-06</v>
      </c>
      <c r="AB517" s="36">
        <v>41338.0</v>
      </c>
      <c r="AC517" s="4">
        <v>0.759978917309</v>
      </c>
      <c r="AE517" t="str">
        <f t="shared" si="14"/>
        <v>2013-03</v>
      </c>
      <c r="AG517" s="36">
        <v>42255.0</v>
      </c>
      <c r="AH517" s="4">
        <v>0.808579686308</v>
      </c>
      <c r="AJ517" s="48" t="str">
        <f t="shared" si="16"/>
        <v>2015-09</v>
      </c>
      <c r="AL517" s="36">
        <v>42076.0</v>
      </c>
      <c r="AM517" s="4">
        <v>0.6984845071</v>
      </c>
      <c r="AO517" s="49" t="str">
        <f t="shared" si="18"/>
        <v>2015-03</v>
      </c>
    </row>
    <row r="518">
      <c r="A518" s="36">
        <v>41329.0</v>
      </c>
      <c r="B518" s="34">
        <v>0.710539923687</v>
      </c>
      <c r="C518" s="36">
        <v>42823.0</v>
      </c>
      <c r="D518" t="str">
        <f t="shared" si="6"/>
        <v>2013-02</v>
      </c>
      <c r="E518" s="44" t="str">
        <f t="shared" si="7"/>
        <v>2017-03</v>
      </c>
      <c r="F518" s="63"/>
      <c r="G518" s="36">
        <v>41708.0</v>
      </c>
      <c r="H518" s="34">
        <v>0.705690705062</v>
      </c>
      <c r="J518" t="str">
        <f t="shared" si="8"/>
        <v>2014-03</v>
      </c>
      <c r="K518" s="44"/>
      <c r="L518" s="46">
        <v>42082.0</v>
      </c>
      <c r="M518" s="4">
        <v>0.450058513635</v>
      </c>
      <c r="O518" t="str">
        <f t="shared" si="10"/>
        <v>2015-03</v>
      </c>
      <c r="Q518" s="36">
        <v>42922.0</v>
      </c>
      <c r="R518" s="4">
        <v>0.683214653351</v>
      </c>
      <c r="T518" t="str">
        <f t="shared" si="12"/>
        <v>2017-07</v>
      </c>
      <c r="AB518" s="36">
        <v>41339.0</v>
      </c>
      <c r="AC518" s="4">
        <v>0.718722655395</v>
      </c>
      <c r="AE518" t="str">
        <f t="shared" si="14"/>
        <v>2013-03</v>
      </c>
      <c r="AG518" s="36">
        <v>42261.0</v>
      </c>
      <c r="AH518" s="4">
        <v>0.740594726971</v>
      </c>
      <c r="AJ518" s="48" t="str">
        <f t="shared" si="16"/>
        <v>2015-09</v>
      </c>
      <c r="AL518" s="36">
        <v>42077.0</v>
      </c>
      <c r="AM518" s="4">
        <v>0.784377773913</v>
      </c>
      <c r="AO518" s="49" t="str">
        <f t="shared" si="18"/>
        <v>2015-03</v>
      </c>
    </row>
    <row r="519">
      <c r="A519" s="36">
        <v>41330.0</v>
      </c>
      <c r="B519" s="34">
        <v>0.513317137619</v>
      </c>
      <c r="C519" s="36">
        <v>42836.0</v>
      </c>
      <c r="D519" t="str">
        <f t="shared" si="6"/>
        <v>2013-02</v>
      </c>
      <c r="E519" s="44" t="str">
        <f t="shared" si="7"/>
        <v>2017-04</v>
      </c>
      <c r="F519" s="63"/>
      <c r="G519" s="36">
        <v>41714.0</v>
      </c>
      <c r="H519" s="34">
        <v>0.67251744165</v>
      </c>
      <c r="J519" t="str">
        <f t="shared" si="8"/>
        <v>2014-03</v>
      </c>
      <c r="K519" s="44"/>
      <c r="L519" s="46">
        <v>42088.0</v>
      </c>
      <c r="M519" s="4">
        <v>0.648308220972</v>
      </c>
      <c r="O519" t="str">
        <f t="shared" si="10"/>
        <v>2015-03</v>
      </c>
      <c r="Q519" s="36">
        <v>42923.0</v>
      </c>
      <c r="R519" s="4">
        <v>0.74342491619</v>
      </c>
      <c r="T519" t="str">
        <f t="shared" si="12"/>
        <v>2017-07</v>
      </c>
      <c r="AB519" s="36">
        <v>41345.0</v>
      </c>
      <c r="AC519" s="4">
        <v>0.69596412127</v>
      </c>
      <c r="AE519" t="str">
        <f t="shared" si="14"/>
        <v>2013-03</v>
      </c>
      <c r="AG519" s="36">
        <v>42262.0</v>
      </c>
      <c r="AH519" s="4">
        <v>0.728952428293</v>
      </c>
      <c r="AJ519" s="48" t="str">
        <f t="shared" si="16"/>
        <v>2015-09</v>
      </c>
      <c r="AL519" s="36">
        <v>42083.0</v>
      </c>
      <c r="AM519" s="4">
        <v>0.77904054898</v>
      </c>
      <c r="AO519" s="49" t="str">
        <f t="shared" si="18"/>
        <v>2015-03</v>
      </c>
    </row>
    <row r="520">
      <c r="A520" s="36">
        <v>41336.0</v>
      </c>
      <c r="B520" s="34">
        <v>0.70274358749</v>
      </c>
      <c r="C520" s="36">
        <v>42858.0</v>
      </c>
      <c r="D520" t="str">
        <f t="shared" si="6"/>
        <v>2013-03</v>
      </c>
      <c r="E520" s="44" t="str">
        <f t="shared" si="7"/>
        <v>2017-05</v>
      </c>
      <c r="F520" s="63"/>
      <c r="G520" s="36">
        <v>41715.0</v>
      </c>
      <c r="H520" s="34">
        <v>0.654255880555</v>
      </c>
      <c r="J520" t="str">
        <f t="shared" si="8"/>
        <v>2014-03</v>
      </c>
      <c r="K520" s="44"/>
      <c r="L520" s="46">
        <v>42089.0</v>
      </c>
      <c r="M520" s="4">
        <v>0.850867016747</v>
      </c>
      <c r="O520" t="str">
        <f t="shared" si="10"/>
        <v>2015-03</v>
      </c>
      <c r="Q520" s="36">
        <v>42929.0</v>
      </c>
      <c r="R520" s="4">
        <v>0.730014833592</v>
      </c>
      <c r="T520" t="str">
        <f t="shared" si="12"/>
        <v>2017-07</v>
      </c>
      <c r="AB520" s="36">
        <v>41346.0</v>
      </c>
      <c r="AC520" s="4">
        <v>0.735807276968</v>
      </c>
      <c r="AE520" t="str">
        <f t="shared" si="14"/>
        <v>2013-03</v>
      </c>
      <c r="AG520" s="36">
        <v>42268.0</v>
      </c>
      <c r="AH520" s="4">
        <v>0.704013366559</v>
      </c>
      <c r="AJ520" s="48" t="str">
        <f t="shared" si="16"/>
        <v>2015-09</v>
      </c>
      <c r="AL520" s="36">
        <v>42084.0</v>
      </c>
      <c r="AM520" s="4">
        <v>0.834742105246</v>
      </c>
      <c r="AO520" s="49" t="str">
        <f t="shared" si="18"/>
        <v>2015-03</v>
      </c>
    </row>
    <row r="521">
      <c r="A521" s="36">
        <v>41337.0</v>
      </c>
      <c r="B521" s="34">
        <v>0.629038101871</v>
      </c>
      <c r="C521" s="36">
        <v>42927.0</v>
      </c>
      <c r="D521" t="str">
        <f t="shared" si="6"/>
        <v>2013-03</v>
      </c>
      <c r="E521" s="44" t="str">
        <f t="shared" si="7"/>
        <v>2017-07</v>
      </c>
      <c r="F521" s="63"/>
      <c r="G521" s="36">
        <v>41721.0</v>
      </c>
      <c r="H521" s="34">
        <v>0.733774301673</v>
      </c>
      <c r="J521" t="str">
        <f t="shared" si="8"/>
        <v>2014-03</v>
      </c>
      <c r="K521" s="44"/>
      <c r="L521" s="46">
        <v>42095.0</v>
      </c>
      <c r="M521" s="4">
        <v>0.478414263086</v>
      </c>
      <c r="O521" t="str">
        <f t="shared" si="10"/>
        <v>2015-04</v>
      </c>
      <c r="Q521" s="36">
        <v>42930.0</v>
      </c>
      <c r="R521" s="4">
        <v>0.64747857282</v>
      </c>
      <c r="T521" t="str">
        <f t="shared" si="12"/>
        <v>2017-07</v>
      </c>
      <c r="AB521" s="36">
        <v>41352.0</v>
      </c>
      <c r="AC521" s="4">
        <v>0.685476333958</v>
      </c>
      <c r="AE521" t="str">
        <f t="shared" si="14"/>
        <v>2013-03</v>
      </c>
      <c r="AG521" s="36">
        <v>42269.0</v>
      </c>
      <c r="AH521" s="4">
        <v>0.803220269012</v>
      </c>
      <c r="AJ521" s="48" t="str">
        <f t="shared" si="16"/>
        <v>2015-09</v>
      </c>
      <c r="AL521" s="36">
        <v>42090.0</v>
      </c>
      <c r="AM521" s="4">
        <v>0.760468927009</v>
      </c>
      <c r="AO521" s="49" t="str">
        <f t="shared" si="18"/>
        <v>2015-03</v>
      </c>
    </row>
    <row r="522">
      <c r="A522" s="36">
        <v>41343.0</v>
      </c>
      <c r="B522" s="34">
        <v>0.696820637434</v>
      </c>
      <c r="C522" s="36">
        <v>42885.0</v>
      </c>
      <c r="D522" t="str">
        <f t="shared" si="6"/>
        <v>2013-03</v>
      </c>
      <c r="E522" s="44" t="str">
        <f t="shared" si="7"/>
        <v>2017-05</v>
      </c>
      <c r="F522" s="63"/>
      <c r="G522" s="36">
        <v>41722.0</v>
      </c>
      <c r="H522" s="34">
        <v>0.720090422699</v>
      </c>
      <c r="J522" t="str">
        <f t="shared" si="8"/>
        <v>2014-03</v>
      </c>
      <c r="K522" s="44"/>
      <c r="L522" s="46">
        <v>42096.0</v>
      </c>
      <c r="M522" s="4">
        <v>0.647053424063</v>
      </c>
      <c r="O522" t="str">
        <f t="shared" si="10"/>
        <v>2015-04</v>
      </c>
      <c r="Q522" s="36">
        <v>42936.0</v>
      </c>
      <c r="R522" s="4">
        <v>0.734703609953</v>
      </c>
      <c r="T522" t="str">
        <f t="shared" si="12"/>
        <v>2017-07</v>
      </c>
      <c r="AB522" s="36">
        <v>41353.0</v>
      </c>
      <c r="AC522" s="4">
        <v>0.541557526972</v>
      </c>
      <c r="AE522" t="str">
        <f t="shared" si="14"/>
        <v>2013-03</v>
      </c>
      <c r="AG522" s="36">
        <v>42275.0</v>
      </c>
      <c r="AH522" s="4">
        <v>0.652340494786</v>
      </c>
      <c r="AJ522" s="48" t="str">
        <f t="shared" si="16"/>
        <v>2015-09</v>
      </c>
      <c r="AL522" s="36">
        <v>42091.0</v>
      </c>
      <c r="AM522" s="4">
        <v>0.88991988676</v>
      </c>
      <c r="AO522" s="49" t="str">
        <f t="shared" si="18"/>
        <v>2015-03</v>
      </c>
    </row>
    <row r="523">
      <c r="A523" s="36">
        <v>41344.0</v>
      </c>
      <c r="B523" s="34">
        <v>0.589939388007</v>
      </c>
      <c r="C523" s="36">
        <v>42894.0</v>
      </c>
      <c r="D523" t="str">
        <f t="shared" si="6"/>
        <v>2013-03</v>
      </c>
      <c r="E523" s="44" t="str">
        <f t="shared" si="7"/>
        <v>2017-06</v>
      </c>
      <c r="F523" s="63"/>
      <c r="G523" s="36">
        <v>41728.0</v>
      </c>
      <c r="H523" s="34">
        <v>0.737518778845</v>
      </c>
      <c r="J523" t="str">
        <f t="shared" si="8"/>
        <v>2014-03</v>
      </c>
      <c r="K523" s="44"/>
      <c r="L523" s="46">
        <v>42102.0</v>
      </c>
      <c r="M523" s="4">
        <v>0.761173615748</v>
      </c>
      <c r="O523" t="str">
        <f t="shared" si="10"/>
        <v>2015-04</v>
      </c>
      <c r="Q523" s="36">
        <v>42937.0</v>
      </c>
      <c r="R523" s="4">
        <v>0.812277508371</v>
      </c>
      <c r="T523" t="str">
        <f t="shared" si="12"/>
        <v>2017-07</v>
      </c>
      <c r="AB523" s="36">
        <v>41359.0</v>
      </c>
      <c r="AC523" s="4">
        <v>0.687637807507</v>
      </c>
      <c r="AE523" t="str">
        <f t="shared" si="14"/>
        <v>2013-03</v>
      </c>
      <c r="AG523" s="36">
        <v>42276.0</v>
      </c>
      <c r="AH523" s="4">
        <v>0.740311603</v>
      </c>
      <c r="AJ523" s="48" t="str">
        <f t="shared" si="16"/>
        <v>2015-09</v>
      </c>
      <c r="AL523" s="36">
        <v>42097.0</v>
      </c>
      <c r="AM523" s="4">
        <v>0.667698701377</v>
      </c>
      <c r="AO523" s="49" t="str">
        <f t="shared" si="18"/>
        <v>2015-04</v>
      </c>
    </row>
    <row r="524">
      <c r="A524" s="36">
        <v>41350.0</v>
      </c>
      <c r="B524" s="34">
        <v>0.641431987511</v>
      </c>
      <c r="C524" s="36">
        <v>42899.0</v>
      </c>
      <c r="D524" t="str">
        <f t="shared" si="6"/>
        <v>2013-03</v>
      </c>
      <c r="E524" s="44" t="str">
        <f t="shared" si="7"/>
        <v>2017-06</v>
      </c>
      <c r="F524" s="63"/>
      <c r="G524" s="36">
        <v>41729.0</v>
      </c>
      <c r="H524" s="34">
        <v>0.71190407246</v>
      </c>
      <c r="J524" t="str">
        <f t="shared" si="8"/>
        <v>2014-03</v>
      </c>
      <c r="K524" s="44"/>
      <c r="L524" s="46">
        <v>42103.0</v>
      </c>
      <c r="M524" s="4">
        <v>0.795663726944</v>
      </c>
      <c r="O524" t="str">
        <f t="shared" si="10"/>
        <v>2015-04</v>
      </c>
      <c r="Q524" s="36">
        <v>42943.0</v>
      </c>
      <c r="R524" s="4">
        <v>0.821082900214</v>
      </c>
      <c r="T524" t="str">
        <f t="shared" si="12"/>
        <v>2017-07</v>
      </c>
      <c r="AB524" s="36">
        <v>41366.0</v>
      </c>
      <c r="AC524" s="4">
        <v>0.659712247605</v>
      </c>
      <c r="AE524" t="str">
        <f t="shared" si="14"/>
        <v>2013-04</v>
      </c>
      <c r="AG524" s="36">
        <v>42282.0</v>
      </c>
      <c r="AH524" s="4">
        <v>0.69927314713</v>
      </c>
      <c r="AJ524" s="48" t="str">
        <f t="shared" si="16"/>
        <v>2015-10</v>
      </c>
      <c r="AL524" s="36">
        <v>42098.0</v>
      </c>
      <c r="AM524" s="4">
        <v>0.882478856462</v>
      </c>
      <c r="AO524" s="49" t="str">
        <f t="shared" si="18"/>
        <v>2015-04</v>
      </c>
    </row>
    <row r="525">
      <c r="A525" s="36">
        <v>41351.0</v>
      </c>
      <c r="B525" s="34">
        <v>0.661755320806</v>
      </c>
      <c r="C525" s="36">
        <v>42901.0</v>
      </c>
      <c r="D525" t="str">
        <f t="shared" si="6"/>
        <v>2013-03</v>
      </c>
      <c r="E525" s="44" t="str">
        <f t="shared" si="7"/>
        <v>2017-06</v>
      </c>
      <c r="F525" s="63"/>
      <c r="G525" s="36">
        <v>41735.0</v>
      </c>
      <c r="H525" s="34">
        <v>0.667762256194</v>
      </c>
      <c r="J525" t="str">
        <f t="shared" si="8"/>
        <v>2014-04</v>
      </c>
      <c r="K525" s="44"/>
      <c r="L525" s="46">
        <v>42109.0</v>
      </c>
      <c r="M525" s="4">
        <v>0.706631981516</v>
      </c>
      <c r="O525" t="str">
        <f t="shared" si="10"/>
        <v>2015-04</v>
      </c>
      <c r="Q525" s="36">
        <v>42944.0</v>
      </c>
      <c r="R525" s="4">
        <v>0.759948714272</v>
      </c>
      <c r="T525" t="str">
        <f t="shared" si="12"/>
        <v>2017-07</v>
      </c>
      <c r="AB525" s="36">
        <v>41367.0</v>
      </c>
      <c r="AC525" s="4">
        <v>0.837868827462</v>
      </c>
      <c r="AE525" t="str">
        <f t="shared" si="14"/>
        <v>2013-04</v>
      </c>
      <c r="AG525" s="36">
        <v>42283.0</v>
      </c>
      <c r="AH525" s="4">
        <v>0.727766676846</v>
      </c>
      <c r="AJ525" s="48" t="str">
        <f t="shared" si="16"/>
        <v>2015-10</v>
      </c>
      <c r="AL525" s="36">
        <v>42104.0</v>
      </c>
      <c r="AM525" s="4">
        <v>0.655853602218</v>
      </c>
      <c r="AO525" s="49" t="str">
        <f t="shared" si="18"/>
        <v>2015-04</v>
      </c>
    </row>
    <row r="526">
      <c r="A526" s="36">
        <v>41357.0</v>
      </c>
      <c r="B526" s="34">
        <v>0.572992968133</v>
      </c>
      <c r="C526" s="36">
        <v>42915.0</v>
      </c>
      <c r="D526" t="str">
        <f t="shared" si="6"/>
        <v>2013-03</v>
      </c>
      <c r="E526" s="44" t="str">
        <f t="shared" si="7"/>
        <v>2017-06</v>
      </c>
      <c r="F526" s="63"/>
      <c r="G526" s="36">
        <v>41736.0</v>
      </c>
      <c r="H526" s="34">
        <v>0.741058584144</v>
      </c>
      <c r="J526" t="str">
        <f t="shared" si="8"/>
        <v>2014-04</v>
      </c>
      <c r="K526" s="44"/>
      <c r="L526" s="46">
        <v>42110.0</v>
      </c>
      <c r="M526" s="4">
        <v>0.449063355261</v>
      </c>
      <c r="O526" t="str">
        <f t="shared" si="10"/>
        <v>2015-04</v>
      </c>
      <c r="Q526" s="36">
        <v>42950.0</v>
      </c>
      <c r="R526" s="4">
        <v>0.781815385935</v>
      </c>
      <c r="T526" t="str">
        <f t="shared" si="12"/>
        <v>2017-08</v>
      </c>
      <c r="AB526" s="36">
        <v>41373.0</v>
      </c>
      <c r="AC526" s="4">
        <v>0.709610903636</v>
      </c>
      <c r="AE526" t="str">
        <f t="shared" si="14"/>
        <v>2013-04</v>
      </c>
      <c r="AG526" s="36">
        <v>42289.0</v>
      </c>
      <c r="AH526" s="4">
        <v>0.754449759574</v>
      </c>
      <c r="AJ526" s="48" t="str">
        <f t="shared" si="16"/>
        <v>2015-10</v>
      </c>
      <c r="AL526" s="36">
        <v>42105.0</v>
      </c>
      <c r="AM526" s="4">
        <v>0.762057444562</v>
      </c>
      <c r="AO526" s="49" t="str">
        <f t="shared" si="18"/>
        <v>2015-04</v>
      </c>
    </row>
    <row r="527">
      <c r="A527" s="36">
        <v>41358.0</v>
      </c>
      <c r="B527" s="34">
        <v>0.630045041748</v>
      </c>
      <c r="C527" s="36">
        <v>42927.0</v>
      </c>
      <c r="D527" t="str">
        <f t="shared" si="6"/>
        <v>2013-03</v>
      </c>
      <c r="E527" s="44" t="str">
        <f t="shared" si="7"/>
        <v>2017-07</v>
      </c>
      <c r="F527" s="63"/>
      <c r="G527" s="36">
        <v>41742.0</v>
      </c>
      <c r="H527" s="34">
        <v>0.625403419923</v>
      </c>
      <c r="J527" t="str">
        <f t="shared" si="8"/>
        <v>2014-04</v>
      </c>
      <c r="K527" s="44"/>
      <c r="L527" s="46">
        <v>42116.0</v>
      </c>
      <c r="M527" s="4">
        <v>0.733361245495</v>
      </c>
      <c r="O527" t="str">
        <f t="shared" si="10"/>
        <v>2015-04</v>
      </c>
      <c r="Q527" s="36">
        <v>42951.0</v>
      </c>
      <c r="R527" s="4">
        <v>0.749880243158</v>
      </c>
      <c r="T527" t="str">
        <f t="shared" si="12"/>
        <v>2017-08</v>
      </c>
      <c r="AB527" s="36">
        <v>41374.0</v>
      </c>
      <c r="AC527" s="4">
        <v>0.674415114906</v>
      </c>
      <c r="AE527" t="str">
        <f t="shared" si="14"/>
        <v>2013-04</v>
      </c>
      <c r="AG527" s="36">
        <v>42290.0</v>
      </c>
      <c r="AH527" s="4">
        <v>0.765528191614</v>
      </c>
      <c r="AJ527" s="48" t="str">
        <f t="shared" si="16"/>
        <v>2015-10</v>
      </c>
      <c r="AL527" s="36">
        <v>42111.0</v>
      </c>
      <c r="AM527" s="4">
        <v>0.754274105734</v>
      </c>
      <c r="AO527" s="49" t="str">
        <f t="shared" si="18"/>
        <v>2015-04</v>
      </c>
    </row>
    <row r="528">
      <c r="A528" s="36">
        <v>41364.0</v>
      </c>
      <c r="B528" s="34">
        <v>0.628306818683</v>
      </c>
      <c r="C528" s="36">
        <v>42935.0</v>
      </c>
      <c r="D528" t="str">
        <f t="shared" si="6"/>
        <v>2013-03</v>
      </c>
      <c r="E528" s="44" t="str">
        <f t="shared" si="7"/>
        <v>2017-07</v>
      </c>
      <c r="F528" s="63"/>
      <c r="G528" s="36">
        <v>41743.0</v>
      </c>
      <c r="H528" s="34">
        <v>0.678051282922</v>
      </c>
      <c r="J528" t="str">
        <f t="shared" si="8"/>
        <v>2014-04</v>
      </c>
      <c r="K528" s="44"/>
      <c r="L528" s="46">
        <v>42117.0</v>
      </c>
      <c r="M528" s="4">
        <v>0.80326220478</v>
      </c>
      <c r="O528" t="str">
        <f t="shared" si="10"/>
        <v>2015-04</v>
      </c>
      <c r="Q528" s="36">
        <v>42957.0</v>
      </c>
      <c r="R528" s="4">
        <v>0.698993675687</v>
      </c>
      <c r="T528" t="str">
        <f t="shared" si="12"/>
        <v>2017-08</v>
      </c>
      <c r="AB528" s="36">
        <v>41380.0</v>
      </c>
      <c r="AC528" s="4">
        <v>0.692538970753</v>
      </c>
      <c r="AE528" t="str">
        <f t="shared" si="14"/>
        <v>2013-04</v>
      </c>
      <c r="AG528" s="36">
        <v>42296.0</v>
      </c>
      <c r="AH528" s="4">
        <v>0.715207078509</v>
      </c>
      <c r="AJ528" s="48" t="str">
        <f t="shared" si="16"/>
        <v>2015-10</v>
      </c>
      <c r="AL528" s="36">
        <v>42112.0</v>
      </c>
      <c r="AM528" s="4">
        <v>0.72478003466</v>
      </c>
      <c r="AO528" s="49" t="str">
        <f t="shared" si="18"/>
        <v>2015-04</v>
      </c>
    </row>
    <row r="529">
      <c r="A529" s="36">
        <v>41365.0</v>
      </c>
      <c r="B529" s="34">
        <v>0.68182439107</v>
      </c>
      <c r="C529" s="36">
        <v>42936.0</v>
      </c>
      <c r="D529" t="str">
        <f t="shared" si="6"/>
        <v>2013-04</v>
      </c>
      <c r="E529" s="44" t="str">
        <f t="shared" si="7"/>
        <v>2017-07</v>
      </c>
      <c r="F529" s="63"/>
      <c r="G529" s="36">
        <v>41749.0</v>
      </c>
      <c r="H529" s="34">
        <v>0.738494931899</v>
      </c>
      <c r="J529" t="str">
        <f t="shared" si="8"/>
        <v>2014-04</v>
      </c>
      <c r="K529" s="44"/>
      <c r="L529" s="46">
        <v>42123.0</v>
      </c>
      <c r="M529" s="4">
        <v>0.653503896025</v>
      </c>
      <c r="O529" t="str">
        <f t="shared" si="10"/>
        <v>2015-04</v>
      </c>
      <c r="Q529" s="36">
        <v>42958.0</v>
      </c>
      <c r="R529" s="4">
        <v>0.805652585912</v>
      </c>
      <c r="T529" t="str">
        <f t="shared" si="12"/>
        <v>2017-08</v>
      </c>
      <c r="AB529" s="36">
        <v>41381.0</v>
      </c>
      <c r="AC529" s="4">
        <v>0.726997329511</v>
      </c>
      <c r="AE529" t="str">
        <f t="shared" si="14"/>
        <v>2013-04</v>
      </c>
      <c r="AG529" s="36">
        <v>42297.0</v>
      </c>
      <c r="AH529" s="4">
        <v>0.762675140463</v>
      </c>
      <c r="AJ529" s="48" t="str">
        <f t="shared" si="16"/>
        <v>2015-10</v>
      </c>
      <c r="AL529" s="36">
        <v>42118.0</v>
      </c>
      <c r="AM529" s="4">
        <v>0.718895819462</v>
      </c>
      <c r="AO529" s="49" t="str">
        <f t="shared" si="18"/>
        <v>2015-04</v>
      </c>
    </row>
    <row r="530">
      <c r="A530" s="36">
        <v>41371.0</v>
      </c>
      <c r="B530" s="34">
        <v>0.692323805389</v>
      </c>
      <c r="C530" s="36">
        <v>42957.0</v>
      </c>
      <c r="D530" t="str">
        <f t="shared" si="6"/>
        <v>2013-04</v>
      </c>
      <c r="E530" s="44" t="str">
        <f t="shared" si="7"/>
        <v>2017-08</v>
      </c>
      <c r="F530" s="63"/>
      <c r="G530" s="36">
        <v>41750.0</v>
      </c>
      <c r="H530" s="34">
        <v>0.750650607019</v>
      </c>
      <c r="J530" t="str">
        <f t="shared" si="8"/>
        <v>2014-04</v>
      </c>
      <c r="K530" s="44"/>
      <c r="L530" s="46">
        <v>42124.0</v>
      </c>
      <c r="M530" s="4">
        <v>0.703773153654</v>
      </c>
      <c r="O530" t="str">
        <f t="shared" si="10"/>
        <v>2015-04</v>
      </c>
      <c r="Q530" s="36">
        <v>42964.0</v>
      </c>
      <c r="R530" s="4">
        <v>0.634242726418</v>
      </c>
      <c r="T530" t="str">
        <f t="shared" si="12"/>
        <v>2017-08</v>
      </c>
      <c r="AB530" s="36">
        <v>41387.0</v>
      </c>
      <c r="AC530" s="4">
        <v>0.720182830753</v>
      </c>
      <c r="AE530" t="str">
        <f t="shared" si="14"/>
        <v>2013-04</v>
      </c>
      <c r="AG530" s="36">
        <v>42303.0</v>
      </c>
      <c r="AH530" s="4">
        <v>0.745659279315</v>
      </c>
      <c r="AJ530" s="48" t="str">
        <f t="shared" si="16"/>
        <v>2015-10</v>
      </c>
      <c r="AL530" s="36">
        <v>42119.0</v>
      </c>
      <c r="AM530" s="4">
        <v>0.831320528329</v>
      </c>
      <c r="AO530" s="49" t="str">
        <f t="shared" si="18"/>
        <v>2015-04</v>
      </c>
    </row>
    <row r="531">
      <c r="A531" s="36">
        <v>41372.0</v>
      </c>
      <c r="B531" s="34">
        <v>0.694533798348</v>
      </c>
      <c r="C531" s="36">
        <v>42962.0</v>
      </c>
      <c r="D531" t="str">
        <f t="shared" si="6"/>
        <v>2013-04</v>
      </c>
      <c r="E531" s="44" t="str">
        <f t="shared" si="7"/>
        <v>2017-08</v>
      </c>
      <c r="F531" s="63"/>
      <c r="G531" s="36">
        <v>41757.0</v>
      </c>
      <c r="H531" s="34">
        <v>0.811701741633</v>
      </c>
      <c r="J531" t="str">
        <f t="shared" si="8"/>
        <v>2014-04</v>
      </c>
      <c r="K531" s="44"/>
      <c r="L531" s="46">
        <v>42130.0</v>
      </c>
      <c r="M531" s="4">
        <v>0.757442299446</v>
      </c>
      <c r="O531" t="str">
        <f t="shared" si="10"/>
        <v>2015-05</v>
      </c>
      <c r="Q531" s="36">
        <v>42965.0</v>
      </c>
      <c r="R531" s="4">
        <v>0.67986976888</v>
      </c>
      <c r="T531" t="str">
        <f t="shared" si="12"/>
        <v>2017-08</v>
      </c>
      <c r="AB531" s="36">
        <v>41388.0</v>
      </c>
      <c r="AC531" s="4">
        <v>0.768491616754</v>
      </c>
      <c r="AE531" t="str">
        <f t="shared" si="14"/>
        <v>2013-04</v>
      </c>
      <c r="AG531" s="36">
        <v>42304.0</v>
      </c>
      <c r="AH531" s="4">
        <v>0.781845057074</v>
      </c>
      <c r="AJ531" s="48" t="str">
        <f t="shared" si="16"/>
        <v>2015-10</v>
      </c>
      <c r="AL531" s="36">
        <v>42125.0</v>
      </c>
      <c r="AM531" s="4">
        <v>0.77401961956</v>
      </c>
      <c r="AO531" s="49" t="str">
        <f t="shared" si="18"/>
        <v>2015-05</v>
      </c>
    </row>
    <row r="532">
      <c r="A532" s="36">
        <v>41378.0</v>
      </c>
      <c r="B532" s="34">
        <v>0.673955040841</v>
      </c>
      <c r="C532" s="36">
        <v>42990.0</v>
      </c>
      <c r="D532" t="str">
        <f t="shared" si="6"/>
        <v>2013-04</v>
      </c>
      <c r="E532" s="44" t="str">
        <f t="shared" si="7"/>
        <v>2017-09</v>
      </c>
      <c r="F532" s="63"/>
      <c r="G532" s="36">
        <v>41763.0</v>
      </c>
      <c r="H532" s="34">
        <v>0.684476522432</v>
      </c>
      <c r="J532" t="str">
        <f t="shared" si="8"/>
        <v>2014-05</v>
      </c>
      <c r="K532" s="44"/>
      <c r="L532" s="46">
        <v>42131.0</v>
      </c>
      <c r="M532" s="4">
        <v>0.583893444244</v>
      </c>
      <c r="O532" t="str">
        <f t="shared" si="10"/>
        <v>2015-05</v>
      </c>
      <c r="Q532" s="36">
        <v>42971.0</v>
      </c>
      <c r="R532" s="4">
        <v>0.709754780515</v>
      </c>
      <c r="T532" t="str">
        <f t="shared" si="12"/>
        <v>2017-08</v>
      </c>
      <c r="AB532" s="36">
        <v>41394.0</v>
      </c>
      <c r="AC532" s="4">
        <v>0.666912522715</v>
      </c>
      <c r="AE532" t="str">
        <f t="shared" si="14"/>
        <v>2013-04</v>
      </c>
      <c r="AG532" s="36">
        <v>42310.0</v>
      </c>
      <c r="AH532" s="4">
        <v>0.659461726582</v>
      </c>
      <c r="AJ532" s="48" t="str">
        <f t="shared" si="16"/>
        <v>2015-11</v>
      </c>
      <c r="AL532" s="36">
        <v>42126.0</v>
      </c>
      <c r="AM532" s="4">
        <v>0.745603741405</v>
      </c>
      <c r="AO532" s="49" t="str">
        <f t="shared" si="18"/>
        <v>2015-05</v>
      </c>
    </row>
    <row r="533">
      <c r="A533" s="36">
        <v>41379.0</v>
      </c>
      <c r="B533" s="34">
        <v>0.643462842536</v>
      </c>
      <c r="C533" s="36">
        <v>43004.0</v>
      </c>
      <c r="D533" t="str">
        <f t="shared" si="6"/>
        <v>2013-04</v>
      </c>
      <c r="E533" s="44" t="str">
        <f t="shared" si="7"/>
        <v>2017-09</v>
      </c>
      <c r="F533" s="63"/>
      <c r="G533" s="36">
        <v>41764.0</v>
      </c>
      <c r="H533" s="34">
        <v>0.803758317324</v>
      </c>
      <c r="J533" t="str">
        <f t="shared" si="8"/>
        <v>2014-05</v>
      </c>
      <c r="K533" s="44"/>
      <c r="L533" s="46">
        <v>42137.0</v>
      </c>
      <c r="M533" s="4">
        <v>0.748408170183</v>
      </c>
      <c r="O533" t="str">
        <f t="shared" si="10"/>
        <v>2015-05</v>
      </c>
      <c r="Q533" s="36">
        <v>42972.0</v>
      </c>
      <c r="R533" s="4">
        <v>0.712198490559</v>
      </c>
      <c r="T533" t="str">
        <f t="shared" si="12"/>
        <v>2017-08</v>
      </c>
      <c r="AB533" s="36">
        <v>41395.0</v>
      </c>
      <c r="AC533" s="4">
        <v>0.743845985586</v>
      </c>
      <c r="AE533" t="str">
        <f t="shared" si="14"/>
        <v>2013-05</v>
      </c>
      <c r="AG533" s="36">
        <v>42311.0</v>
      </c>
      <c r="AH533" s="4">
        <v>0.633600791771</v>
      </c>
      <c r="AJ533" s="48" t="str">
        <f t="shared" si="16"/>
        <v>2015-11</v>
      </c>
      <c r="AL533" s="36">
        <v>42132.0</v>
      </c>
      <c r="AM533" s="4">
        <v>0.65556853109</v>
      </c>
      <c r="AO533" s="49" t="str">
        <f t="shared" si="18"/>
        <v>2015-05</v>
      </c>
    </row>
    <row r="534">
      <c r="A534" s="36">
        <v>41385.0</v>
      </c>
      <c r="B534" s="34">
        <v>0.68645420088</v>
      </c>
      <c r="D534" t="str">
        <f t="shared" si="6"/>
        <v>2013-04</v>
      </c>
      <c r="G534" s="36">
        <v>41770.0</v>
      </c>
      <c r="H534" s="34">
        <v>0.744317137724</v>
      </c>
      <c r="J534" t="str">
        <f t="shared" si="8"/>
        <v>2014-05</v>
      </c>
      <c r="K534" s="44"/>
      <c r="L534" s="46">
        <v>42138.0</v>
      </c>
      <c r="M534" s="4">
        <v>0.4950835907</v>
      </c>
      <c r="O534" t="str">
        <f t="shared" si="10"/>
        <v>2015-05</v>
      </c>
      <c r="Q534" s="36">
        <v>42978.0</v>
      </c>
      <c r="R534" s="4">
        <v>0.792096291971</v>
      </c>
      <c r="T534" t="str">
        <f t="shared" si="12"/>
        <v>2017-08</v>
      </c>
      <c r="AB534" s="36">
        <v>41401.0</v>
      </c>
      <c r="AC534" s="4">
        <v>0.680032971043</v>
      </c>
      <c r="AE534" t="str">
        <f t="shared" si="14"/>
        <v>2013-05</v>
      </c>
      <c r="AG534" s="36">
        <v>42317.0</v>
      </c>
      <c r="AH534" s="4">
        <v>0.740872822137</v>
      </c>
      <c r="AJ534" s="48" t="str">
        <f t="shared" si="16"/>
        <v>2015-11</v>
      </c>
      <c r="AL534" s="36">
        <v>42133.0</v>
      </c>
      <c r="AM534" s="4">
        <v>0.629015779638</v>
      </c>
      <c r="AO534" s="49" t="str">
        <f t="shared" si="18"/>
        <v>2015-05</v>
      </c>
    </row>
    <row r="535">
      <c r="A535" s="36">
        <v>41386.0</v>
      </c>
      <c r="B535" s="34">
        <v>0.700393250385</v>
      </c>
      <c r="D535" t="str">
        <f t="shared" si="6"/>
        <v>2013-04</v>
      </c>
      <c r="G535" s="36">
        <v>41771.0</v>
      </c>
      <c r="H535" s="34">
        <v>0.703518643876</v>
      </c>
      <c r="J535" t="str">
        <f t="shared" si="8"/>
        <v>2014-05</v>
      </c>
      <c r="K535" s="44"/>
      <c r="L535" s="46">
        <v>42144.0</v>
      </c>
      <c r="M535" s="4">
        <v>0.703255269605</v>
      </c>
      <c r="O535" t="str">
        <f t="shared" si="10"/>
        <v>2015-05</v>
      </c>
      <c r="Q535" s="36">
        <v>42979.0</v>
      </c>
      <c r="R535" s="4">
        <v>0.757692729614</v>
      </c>
      <c r="T535" t="str">
        <f t="shared" si="12"/>
        <v>2017-09</v>
      </c>
      <c r="AB535" s="36">
        <v>41402.0</v>
      </c>
      <c r="AC535" s="4">
        <v>0.747258642895</v>
      </c>
      <c r="AE535" t="str">
        <f t="shared" si="14"/>
        <v>2013-05</v>
      </c>
      <c r="AG535" s="36">
        <v>42318.0</v>
      </c>
      <c r="AH535" s="4">
        <v>0.71418883766</v>
      </c>
      <c r="AJ535" s="48" t="str">
        <f t="shared" si="16"/>
        <v>2015-11</v>
      </c>
      <c r="AL535" s="36">
        <v>42139.0</v>
      </c>
      <c r="AM535" s="4">
        <v>0.702619372823</v>
      </c>
      <c r="AO535" s="49" t="str">
        <f t="shared" si="18"/>
        <v>2015-05</v>
      </c>
    </row>
    <row r="536">
      <c r="A536" s="36">
        <v>41392.0</v>
      </c>
      <c r="B536" s="34">
        <v>0.697971299029</v>
      </c>
      <c r="D536" t="str">
        <f t="shared" si="6"/>
        <v>2013-04</v>
      </c>
      <c r="G536" s="36">
        <v>41777.0</v>
      </c>
      <c r="H536" s="34">
        <v>0.750174001153</v>
      </c>
      <c r="J536" t="str">
        <f t="shared" si="8"/>
        <v>2014-05</v>
      </c>
      <c r="K536" s="44"/>
      <c r="L536" s="46">
        <v>42145.0</v>
      </c>
      <c r="M536" s="4">
        <v>0.805744648781</v>
      </c>
      <c r="O536" t="str">
        <f t="shared" si="10"/>
        <v>2015-05</v>
      </c>
      <c r="Q536" s="36">
        <v>42985.0</v>
      </c>
      <c r="R536" s="4">
        <v>0.790345634388</v>
      </c>
      <c r="T536" t="str">
        <f t="shared" si="12"/>
        <v>2017-09</v>
      </c>
      <c r="AB536" s="36">
        <v>41408.0</v>
      </c>
      <c r="AC536" s="4">
        <v>0.730674941174</v>
      </c>
      <c r="AE536" t="str">
        <f t="shared" si="14"/>
        <v>2013-05</v>
      </c>
      <c r="AG536" s="36">
        <v>42324.0</v>
      </c>
      <c r="AH536" s="4">
        <v>0.681254022624</v>
      </c>
      <c r="AJ536" s="48" t="str">
        <f t="shared" si="16"/>
        <v>2015-11</v>
      </c>
      <c r="AL536" s="36">
        <v>42146.0</v>
      </c>
      <c r="AM536" s="4">
        <v>0.748656837305</v>
      </c>
      <c r="AO536" s="49" t="str">
        <f t="shared" si="18"/>
        <v>2015-05</v>
      </c>
    </row>
    <row r="537">
      <c r="A537" s="36">
        <v>41393.0</v>
      </c>
      <c r="B537" s="34">
        <v>0.782329121029</v>
      </c>
      <c r="D537" t="str">
        <f t="shared" si="6"/>
        <v>2013-04</v>
      </c>
      <c r="G537" s="36">
        <v>41778.0</v>
      </c>
      <c r="H537" s="34">
        <v>0.6995773998</v>
      </c>
      <c r="J537" t="str">
        <f t="shared" si="8"/>
        <v>2014-05</v>
      </c>
      <c r="K537" s="44"/>
      <c r="L537" s="46">
        <v>42151.0</v>
      </c>
      <c r="M537" s="4">
        <v>0.7287845772</v>
      </c>
      <c r="O537" t="str">
        <f t="shared" si="10"/>
        <v>2015-05</v>
      </c>
      <c r="Q537" s="36">
        <v>42986.0</v>
      </c>
      <c r="R537" s="4">
        <v>0.691957176796</v>
      </c>
      <c r="T537" t="str">
        <f t="shared" si="12"/>
        <v>2017-09</v>
      </c>
      <c r="AB537" s="36">
        <v>41409.0</v>
      </c>
      <c r="AC537" s="4">
        <v>0.562039791703</v>
      </c>
      <c r="AE537" t="str">
        <f t="shared" si="14"/>
        <v>2013-05</v>
      </c>
      <c r="AG537" s="36">
        <v>42325.0</v>
      </c>
      <c r="AH537" s="4">
        <v>0.696085214136</v>
      </c>
      <c r="AJ537" s="48" t="str">
        <f t="shared" si="16"/>
        <v>2015-11</v>
      </c>
      <c r="AL537" s="36">
        <v>42147.0</v>
      </c>
      <c r="AM537" s="4">
        <v>0.811821036833</v>
      </c>
      <c r="AO537" s="49" t="str">
        <f t="shared" si="18"/>
        <v>2015-05</v>
      </c>
    </row>
    <row r="538">
      <c r="A538" s="36">
        <v>41399.0</v>
      </c>
      <c r="B538" s="34">
        <v>0.657964074948</v>
      </c>
      <c r="D538" t="str">
        <f t="shared" si="6"/>
        <v>2013-05</v>
      </c>
      <c r="G538" s="36">
        <v>41784.0</v>
      </c>
      <c r="H538" s="34">
        <v>0.688893390951</v>
      </c>
      <c r="J538" t="str">
        <f t="shared" si="8"/>
        <v>2014-05</v>
      </c>
      <c r="K538" s="44"/>
      <c r="L538" s="46">
        <v>42152.0</v>
      </c>
      <c r="M538" s="4">
        <v>0.824965957148</v>
      </c>
      <c r="O538" t="str">
        <f t="shared" si="10"/>
        <v>2015-05</v>
      </c>
      <c r="Q538" s="36">
        <v>42993.0</v>
      </c>
      <c r="R538" s="4">
        <v>0.712815730921</v>
      </c>
      <c r="T538" t="str">
        <f t="shared" si="12"/>
        <v>2017-09</v>
      </c>
      <c r="AB538" s="36">
        <v>41415.0</v>
      </c>
      <c r="AC538" s="4">
        <v>0.749694826261</v>
      </c>
      <c r="AE538" t="str">
        <f t="shared" si="14"/>
        <v>2013-05</v>
      </c>
      <c r="AG538" s="36">
        <v>42331.0</v>
      </c>
      <c r="AH538" s="4">
        <v>0.695937563285</v>
      </c>
      <c r="AJ538" s="48" t="str">
        <f t="shared" si="16"/>
        <v>2015-11</v>
      </c>
      <c r="AL538" s="36">
        <v>42153.0</v>
      </c>
      <c r="AM538" s="4">
        <v>0.652482025585</v>
      </c>
      <c r="AO538" s="49" t="str">
        <f t="shared" si="18"/>
        <v>2015-05</v>
      </c>
    </row>
    <row r="539">
      <c r="A539" s="36">
        <v>41400.0</v>
      </c>
      <c r="B539" s="34">
        <v>0.545435158973</v>
      </c>
      <c r="D539" t="str">
        <f t="shared" si="6"/>
        <v>2013-05</v>
      </c>
      <c r="G539" s="36">
        <v>41785.0</v>
      </c>
      <c r="H539" s="34">
        <v>0.698869237561</v>
      </c>
      <c r="J539" t="str">
        <f t="shared" si="8"/>
        <v>2014-05</v>
      </c>
      <c r="K539" s="44"/>
      <c r="L539" s="46">
        <v>42158.0</v>
      </c>
      <c r="M539" s="4">
        <v>0.705694103914</v>
      </c>
      <c r="O539" t="str">
        <f t="shared" si="10"/>
        <v>2015-06</v>
      </c>
      <c r="Q539" s="36">
        <v>42999.0</v>
      </c>
      <c r="R539" s="4">
        <v>0.622113898255</v>
      </c>
      <c r="T539" t="str">
        <f t="shared" si="12"/>
        <v>2017-09</v>
      </c>
      <c r="AB539" s="36">
        <v>41416.0</v>
      </c>
      <c r="AC539" s="4">
        <v>0.801906381201</v>
      </c>
      <c r="AE539" t="str">
        <f t="shared" si="14"/>
        <v>2013-05</v>
      </c>
      <c r="AG539" s="36">
        <v>42332.0</v>
      </c>
      <c r="AH539" s="4">
        <v>0.715526817673</v>
      </c>
      <c r="AJ539" s="48" t="str">
        <f t="shared" si="16"/>
        <v>2015-11</v>
      </c>
      <c r="AL539" s="36">
        <v>42154.0</v>
      </c>
      <c r="AM539" s="4">
        <v>0.557351343053</v>
      </c>
      <c r="AO539" s="49" t="str">
        <f t="shared" si="18"/>
        <v>2015-05</v>
      </c>
    </row>
    <row r="540">
      <c r="A540" s="36">
        <v>41406.0</v>
      </c>
      <c r="B540" s="34">
        <v>0.610686341713</v>
      </c>
      <c r="D540" t="str">
        <f t="shared" si="6"/>
        <v>2013-05</v>
      </c>
      <c r="G540" s="36">
        <v>41791.0</v>
      </c>
      <c r="H540" s="34">
        <v>0.729950190428</v>
      </c>
      <c r="J540" t="str">
        <f t="shared" si="8"/>
        <v>2014-06</v>
      </c>
      <c r="K540" s="44"/>
      <c r="L540" s="46">
        <v>42159.0</v>
      </c>
      <c r="M540" s="4">
        <v>0.632745439451</v>
      </c>
      <c r="O540" t="str">
        <f t="shared" si="10"/>
        <v>2015-06</v>
      </c>
      <c r="Q540" s="36">
        <v>43000.0</v>
      </c>
      <c r="R540" s="4">
        <v>0.685694867645</v>
      </c>
      <c r="T540" t="str">
        <f t="shared" si="12"/>
        <v>2017-09</v>
      </c>
      <c r="AB540" s="36">
        <v>41422.0</v>
      </c>
      <c r="AC540" s="4">
        <v>0.676585890554</v>
      </c>
      <c r="AE540" t="str">
        <f t="shared" si="14"/>
        <v>2013-05</v>
      </c>
      <c r="AG540" s="36">
        <v>42338.0</v>
      </c>
      <c r="AH540" s="4">
        <v>0.663144919632</v>
      </c>
      <c r="AJ540" s="48" t="str">
        <f t="shared" si="16"/>
        <v>2015-11</v>
      </c>
      <c r="AL540" s="36">
        <v>42160.0</v>
      </c>
      <c r="AM540" s="4">
        <v>0.674319842466</v>
      </c>
      <c r="AO540" s="49" t="str">
        <f t="shared" si="18"/>
        <v>2015-06</v>
      </c>
    </row>
    <row r="541">
      <c r="A541" s="36">
        <v>41407.0</v>
      </c>
      <c r="B541" s="34">
        <v>0.825014575837</v>
      </c>
      <c r="D541" t="str">
        <f t="shared" si="6"/>
        <v>2013-05</v>
      </c>
      <c r="G541" s="36">
        <v>41792.0</v>
      </c>
      <c r="H541" s="34">
        <v>0.720903074525</v>
      </c>
      <c r="J541" t="str">
        <f t="shared" si="8"/>
        <v>2014-06</v>
      </c>
      <c r="K541" s="44"/>
      <c r="L541" s="46">
        <v>42165.0</v>
      </c>
      <c r="M541" s="4">
        <v>0.832809641676</v>
      </c>
      <c r="O541" t="str">
        <f t="shared" si="10"/>
        <v>2015-06</v>
      </c>
      <c r="Q541" s="36">
        <v>43006.0</v>
      </c>
      <c r="R541" s="4">
        <v>0.71254525415</v>
      </c>
      <c r="T541" t="str">
        <f t="shared" si="12"/>
        <v>2017-09</v>
      </c>
      <c r="AB541" s="36">
        <v>41423.0</v>
      </c>
      <c r="AC541" s="4">
        <v>0.668591311114</v>
      </c>
      <c r="AE541" t="str">
        <f t="shared" si="14"/>
        <v>2013-05</v>
      </c>
      <c r="AG541" s="36">
        <v>42339.0</v>
      </c>
      <c r="AH541" s="4">
        <v>0.567283814949</v>
      </c>
      <c r="AJ541" s="48" t="str">
        <f t="shared" si="16"/>
        <v>2015-12</v>
      </c>
      <c r="AL541" s="36">
        <v>42161.0</v>
      </c>
      <c r="AM541" s="4">
        <v>0.788032514358</v>
      </c>
      <c r="AO541" s="49" t="str">
        <f t="shared" si="18"/>
        <v>2015-06</v>
      </c>
    </row>
    <row r="542">
      <c r="A542" s="36">
        <v>41413.0</v>
      </c>
      <c r="B542" s="34">
        <v>0.673664811395</v>
      </c>
      <c r="D542" t="str">
        <f t="shared" si="6"/>
        <v>2013-05</v>
      </c>
      <c r="G542" s="36">
        <v>41798.0</v>
      </c>
      <c r="H542" s="34">
        <v>0.807362252943</v>
      </c>
      <c r="J542" t="str">
        <f t="shared" si="8"/>
        <v>2014-06</v>
      </c>
      <c r="K542" s="44"/>
      <c r="L542" s="46">
        <v>42166.0</v>
      </c>
      <c r="M542" s="4">
        <v>0.863358369686</v>
      </c>
      <c r="O542" t="str">
        <f t="shared" si="10"/>
        <v>2015-06</v>
      </c>
      <c r="Q542" s="36">
        <v>43007.0</v>
      </c>
      <c r="R542" s="4">
        <v>0.799391981954</v>
      </c>
      <c r="T542" t="str">
        <f t="shared" si="12"/>
        <v>2017-09</v>
      </c>
      <c r="AB542" s="36">
        <v>41429.0</v>
      </c>
      <c r="AC542" s="4">
        <v>0.688358267892</v>
      </c>
      <c r="AE542" t="str">
        <f t="shared" si="14"/>
        <v>2013-06</v>
      </c>
      <c r="AG542" s="36">
        <v>42345.0</v>
      </c>
      <c r="AH542" s="4">
        <v>0.627755841573</v>
      </c>
      <c r="AJ542" s="48" t="str">
        <f t="shared" si="16"/>
        <v>2015-12</v>
      </c>
      <c r="AL542" s="36">
        <v>42167.0</v>
      </c>
      <c r="AM542" s="4">
        <v>0.702676861616</v>
      </c>
      <c r="AO542" s="49" t="str">
        <f t="shared" si="18"/>
        <v>2015-06</v>
      </c>
    </row>
    <row r="543">
      <c r="A543" s="36">
        <v>41414.0</v>
      </c>
      <c r="B543" s="34">
        <v>0.81080190874</v>
      </c>
      <c r="D543" t="str">
        <f t="shared" si="6"/>
        <v>2013-05</v>
      </c>
      <c r="G543" s="36">
        <v>41799.0</v>
      </c>
      <c r="H543" s="34">
        <v>0.721232472642</v>
      </c>
      <c r="J543" t="str">
        <f t="shared" si="8"/>
        <v>2014-06</v>
      </c>
      <c r="K543" s="44"/>
      <c r="L543" s="46">
        <v>42172.0</v>
      </c>
      <c r="M543" s="4">
        <v>0.649610619809</v>
      </c>
      <c r="O543" t="str">
        <f t="shared" si="10"/>
        <v>2015-06</v>
      </c>
      <c r="Q543" s="36">
        <v>43014.0</v>
      </c>
      <c r="R543" s="4">
        <v>0.746498953037</v>
      </c>
      <c r="T543" t="str">
        <f t="shared" si="12"/>
        <v>2017-10</v>
      </c>
      <c r="AB543" s="36">
        <v>41430.0</v>
      </c>
      <c r="AC543" s="4">
        <v>0.797038830235</v>
      </c>
      <c r="AE543" t="str">
        <f t="shared" si="14"/>
        <v>2013-06</v>
      </c>
      <c r="AG543" s="36">
        <v>42346.0</v>
      </c>
      <c r="AH543" s="4">
        <v>0.755571002902</v>
      </c>
      <c r="AJ543" s="48" t="str">
        <f t="shared" si="16"/>
        <v>2015-12</v>
      </c>
      <c r="AL543" s="36">
        <v>42168.0</v>
      </c>
      <c r="AM543" s="4">
        <v>0.693094128038</v>
      </c>
      <c r="AO543" s="49" t="str">
        <f t="shared" si="18"/>
        <v>2015-06</v>
      </c>
    </row>
    <row r="544">
      <c r="A544" s="36">
        <v>41420.0</v>
      </c>
      <c r="B544" s="34">
        <v>0.763815992814</v>
      </c>
      <c r="D544" t="str">
        <f t="shared" si="6"/>
        <v>2013-05</v>
      </c>
      <c r="G544" s="36">
        <v>41805.0</v>
      </c>
      <c r="H544" s="34">
        <v>0.672669730866</v>
      </c>
      <c r="J544" t="str">
        <f t="shared" si="8"/>
        <v>2014-06</v>
      </c>
      <c r="K544" s="44"/>
      <c r="L544" s="46">
        <v>42173.0</v>
      </c>
      <c r="M544" s="4">
        <v>0.574959901551</v>
      </c>
      <c r="O544" t="str">
        <f t="shared" si="10"/>
        <v>2015-06</v>
      </c>
      <c r="Q544" s="36">
        <v>43020.0</v>
      </c>
      <c r="R544" s="4">
        <v>0.769920632589</v>
      </c>
      <c r="T544" t="str">
        <f t="shared" si="12"/>
        <v>2017-10</v>
      </c>
      <c r="AB544" s="36">
        <v>41436.0</v>
      </c>
      <c r="AC544" s="4">
        <v>0.698760395371</v>
      </c>
      <c r="AE544" t="str">
        <f t="shared" si="14"/>
        <v>2013-06</v>
      </c>
      <c r="AG544" s="36">
        <v>42352.0</v>
      </c>
      <c r="AH544" s="4">
        <v>0.652542331848</v>
      </c>
      <c r="AJ544" s="48" t="str">
        <f t="shared" si="16"/>
        <v>2015-12</v>
      </c>
      <c r="AL544" s="36">
        <v>42174.0</v>
      </c>
      <c r="AM544" s="4">
        <v>0.702782412601</v>
      </c>
      <c r="AO544" s="49" t="str">
        <f t="shared" si="18"/>
        <v>2015-06</v>
      </c>
    </row>
    <row r="545">
      <c r="A545" s="36">
        <v>41421.0</v>
      </c>
      <c r="B545" s="34">
        <v>0.562536440441</v>
      </c>
      <c r="D545" t="str">
        <f t="shared" si="6"/>
        <v>2013-05</v>
      </c>
      <c r="G545" s="36">
        <v>41806.0</v>
      </c>
      <c r="H545" s="34">
        <v>0.72277391147</v>
      </c>
      <c r="J545" t="str">
        <f t="shared" si="8"/>
        <v>2014-06</v>
      </c>
      <c r="K545" s="44"/>
      <c r="L545" s="46">
        <v>42179.0</v>
      </c>
      <c r="M545" s="4">
        <v>0.720425301111</v>
      </c>
      <c r="O545" t="str">
        <f t="shared" si="10"/>
        <v>2015-06</v>
      </c>
      <c r="Q545" s="36">
        <v>43021.0</v>
      </c>
      <c r="R545" s="4">
        <v>0.719255036401</v>
      </c>
      <c r="T545" t="str">
        <f t="shared" si="12"/>
        <v>2017-10</v>
      </c>
      <c r="AB545" s="36">
        <v>41437.0</v>
      </c>
      <c r="AC545" s="4">
        <v>0.683467293494</v>
      </c>
      <c r="AE545" t="str">
        <f t="shared" si="14"/>
        <v>2013-06</v>
      </c>
      <c r="AG545" s="36">
        <v>42353.0</v>
      </c>
      <c r="AH545" s="4">
        <v>0.816901654407</v>
      </c>
      <c r="AJ545" s="48" t="str">
        <f t="shared" si="16"/>
        <v>2015-12</v>
      </c>
      <c r="AL545" s="36">
        <v>42181.0</v>
      </c>
      <c r="AM545" s="4">
        <v>0.713343629153</v>
      </c>
      <c r="AO545" s="49" t="str">
        <f t="shared" si="18"/>
        <v>2015-06</v>
      </c>
    </row>
    <row r="546">
      <c r="A546" s="36">
        <v>41427.0</v>
      </c>
      <c r="B546" s="34">
        <v>0.70040105952</v>
      </c>
      <c r="D546" t="str">
        <f t="shared" si="6"/>
        <v>2013-06</v>
      </c>
      <c r="G546" s="36">
        <v>41812.0</v>
      </c>
      <c r="H546" s="34">
        <v>0.767853736979</v>
      </c>
      <c r="J546" t="str">
        <f t="shared" si="8"/>
        <v>2014-06</v>
      </c>
      <c r="K546" s="44"/>
      <c r="L546" s="46">
        <v>42180.0</v>
      </c>
      <c r="M546" s="4">
        <v>0.720990660414</v>
      </c>
      <c r="O546" t="str">
        <f t="shared" si="10"/>
        <v>2015-06</v>
      </c>
      <c r="Q546" s="36">
        <v>43027.0</v>
      </c>
      <c r="R546" s="4">
        <v>0.771571640209</v>
      </c>
      <c r="T546" t="str">
        <f t="shared" si="12"/>
        <v>2017-10</v>
      </c>
      <c r="AB546" s="36">
        <v>41443.0</v>
      </c>
      <c r="AC546" s="4">
        <v>0.717922601091</v>
      </c>
      <c r="AE546" t="str">
        <f t="shared" si="14"/>
        <v>2013-06</v>
      </c>
      <c r="AG546" s="36">
        <v>42359.0</v>
      </c>
      <c r="AH546" s="4">
        <v>0.645685819722</v>
      </c>
      <c r="AJ546" s="48" t="str">
        <f t="shared" si="16"/>
        <v>2015-12</v>
      </c>
      <c r="AL546" s="36">
        <v>42182.0</v>
      </c>
      <c r="AM546" s="4">
        <v>0.691804507388</v>
      </c>
      <c r="AO546" s="49" t="str">
        <f t="shared" si="18"/>
        <v>2015-06</v>
      </c>
    </row>
    <row r="547">
      <c r="A547" s="36">
        <v>41428.0</v>
      </c>
      <c r="B547" s="34">
        <v>0.705715829127</v>
      </c>
      <c r="D547" t="str">
        <f t="shared" si="6"/>
        <v>2013-06</v>
      </c>
      <c r="G547" s="36">
        <v>41813.0</v>
      </c>
      <c r="H547" s="34">
        <v>0.695354232249</v>
      </c>
      <c r="J547" t="str">
        <f t="shared" si="8"/>
        <v>2014-06</v>
      </c>
      <c r="K547" s="44"/>
      <c r="L547" s="46">
        <v>42186.0</v>
      </c>
      <c r="M547" s="4">
        <v>0.675830028043</v>
      </c>
      <c r="O547" t="str">
        <f t="shared" si="10"/>
        <v>2015-07</v>
      </c>
      <c r="Q547" s="36">
        <v>43028.0</v>
      </c>
      <c r="R547" s="4">
        <v>0.779109475655</v>
      </c>
      <c r="T547" t="str">
        <f t="shared" si="12"/>
        <v>2017-10</v>
      </c>
      <c r="AB547" s="36">
        <v>41444.0</v>
      </c>
      <c r="AC547" s="4">
        <v>0.79822601813</v>
      </c>
      <c r="AE547" t="str">
        <f t="shared" si="14"/>
        <v>2013-06</v>
      </c>
      <c r="AG547" s="36">
        <v>42360.0</v>
      </c>
      <c r="AH547" s="4">
        <v>0.727888480248</v>
      </c>
      <c r="AJ547" s="48" t="str">
        <f t="shared" si="16"/>
        <v>2015-12</v>
      </c>
      <c r="AL547" s="36">
        <v>42188.0</v>
      </c>
      <c r="AM547" s="4">
        <v>0.800573198904</v>
      </c>
      <c r="AO547" s="49" t="str">
        <f t="shared" si="18"/>
        <v>2015-07</v>
      </c>
    </row>
    <row r="548">
      <c r="A548" s="36">
        <v>41434.0</v>
      </c>
      <c r="B548" s="34">
        <v>0.66412469116</v>
      </c>
      <c r="D548" t="str">
        <f t="shared" si="6"/>
        <v>2013-06</v>
      </c>
      <c r="G548" s="36">
        <v>41819.0</v>
      </c>
      <c r="H548" s="34">
        <v>0.739744801986</v>
      </c>
      <c r="J548" t="str">
        <f t="shared" si="8"/>
        <v>2014-06</v>
      </c>
      <c r="K548" s="44"/>
      <c r="L548" s="46">
        <v>42193.0</v>
      </c>
      <c r="M548" s="4">
        <v>0.677591026457</v>
      </c>
      <c r="O548" t="str">
        <f t="shared" si="10"/>
        <v>2015-07</v>
      </c>
      <c r="Q548" s="36">
        <v>43034.0</v>
      </c>
      <c r="R548" s="4">
        <v>0.677156553191</v>
      </c>
      <c r="T548" t="str">
        <f t="shared" si="12"/>
        <v>2017-10</v>
      </c>
      <c r="AB548" s="36">
        <v>41450.0</v>
      </c>
      <c r="AC548" s="4">
        <v>0.743212332184</v>
      </c>
      <c r="AE548" t="str">
        <f t="shared" si="14"/>
        <v>2013-06</v>
      </c>
      <c r="AG548" s="36">
        <v>42366.0</v>
      </c>
      <c r="AH548" s="4">
        <v>0.651007799218</v>
      </c>
      <c r="AJ548" s="48" t="str">
        <f t="shared" si="16"/>
        <v>2015-12</v>
      </c>
      <c r="AL548" s="36">
        <v>42195.0</v>
      </c>
      <c r="AM548" s="4">
        <v>0.715676592853</v>
      </c>
      <c r="AO548" s="49" t="str">
        <f t="shared" si="18"/>
        <v>2015-07</v>
      </c>
    </row>
    <row r="549">
      <c r="A549" s="36">
        <v>41435.0</v>
      </c>
      <c r="B549" s="34">
        <v>0.547672152068</v>
      </c>
      <c r="D549" t="str">
        <f t="shared" si="6"/>
        <v>2013-06</v>
      </c>
      <c r="G549" s="36">
        <v>41820.0</v>
      </c>
      <c r="H549" s="34">
        <v>0.837461532019</v>
      </c>
      <c r="J549" t="str">
        <f t="shared" si="8"/>
        <v>2014-06</v>
      </c>
      <c r="K549" s="44"/>
      <c r="L549" s="46">
        <v>42194.0</v>
      </c>
      <c r="M549" s="4">
        <v>0.69784812158</v>
      </c>
      <c r="O549" t="str">
        <f t="shared" si="10"/>
        <v>2015-07</v>
      </c>
      <c r="Q549" s="36">
        <v>43035.0</v>
      </c>
      <c r="R549" s="4">
        <v>0.700299353372</v>
      </c>
      <c r="T549" t="str">
        <f t="shared" si="12"/>
        <v>2017-10</v>
      </c>
      <c r="AB549" s="36">
        <v>41451.0</v>
      </c>
      <c r="AC549" s="4">
        <v>0.79822601813</v>
      </c>
      <c r="AE549" t="str">
        <f t="shared" si="14"/>
        <v>2013-06</v>
      </c>
      <c r="AG549" s="36">
        <v>42367.0</v>
      </c>
      <c r="AH549" s="4">
        <v>0.718524824699</v>
      </c>
      <c r="AJ549" s="48" t="str">
        <f t="shared" si="16"/>
        <v>2015-12</v>
      </c>
      <c r="AL549" s="36">
        <v>42196.0</v>
      </c>
      <c r="AM549" s="4">
        <v>0.740371417452</v>
      </c>
      <c r="AO549" s="49" t="str">
        <f t="shared" si="18"/>
        <v>2015-07</v>
      </c>
    </row>
    <row r="550">
      <c r="A550" s="36">
        <v>41441.0</v>
      </c>
      <c r="B550" s="34">
        <v>0.74217242956</v>
      </c>
      <c r="D550" t="str">
        <f t="shared" si="6"/>
        <v>2013-06</v>
      </c>
      <c r="G550" s="36">
        <v>41826.0</v>
      </c>
      <c r="H550" s="34">
        <v>0.788644999881</v>
      </c>
      <c r="J550" t="str">
        <f t="shared" si="8"/>
        <v>2014-07</v>
      </c>
      <c r="K550" s="44"/>
      <c r="L550" s="46">
        <v>42200.0</v>
      </c>
      <c r="M550" s="4">
        <v>0.728235164306</v>
      </c>
      <c r="O550" t="str">
        <f t="shared" si="10"/>
        <v>2015-07</v>
      </c>
      <c r="AB550" s="36">
        <v>41456.0</v>
      </c>
      <c r="AC550" s="4">
        <v>0.728447752292</v>
      </c>
      <c r="AE550" t="str">
        <f t="shared" si="14"/>
        <v>2013-07</v>
      </c>
      <c r="AG550" s="36">
        <v>42373.0</v>
      </c>
      <c r="AH550" s="4">
        <v>0.71293189361</v>
      </c>
      <c r="AJ550" s="48" t="str">
        <f t="shared" si="16"/>
        <v>2016-01</v>
      </c>
      <c r="AL550" s="36">
        <v>42202.0</v>
      </c>
      <c r="AM550" s="4">
        <v>0.700384482851</v>
      </c>
      <c r="AO550" s="49" t="str">
        <f t="shared" si="18"/>
        <v>2015-07</v>
      </c>
    </row>
    <row r="551">
      <c r="A551" s="36">
        <v>41442.0</v>
      </c>
      <c r="B551" s="34">
        <v>0.668897099024</v>
      </c>
      <c r="D551" t="str">
        <f t="shared" si="6"/>
        <v>2013-06</v>
      </c>
      <c r="G551" s="36">
        <v>41827.0</v>
      </c>
      <c r="H551" s="34">
        <v>0.7544601744</v>
      </c>
      <c r="J551" t="str">
        <f t="shared" si="8"/>
        <v>2014-07</v>
      </c>
      <c r="K551" s="44"/>
      <c r="L551" s="46">
        <v>42201.0</v>
      </c>
      <c r="M551" s="4">
        <v>0.765041474809</v>
      </c>
      <c r="O551" t="str">
        <f t="shared" si="10"/>
        <v>2015-07</v>
      </c>
      <c r="AB551" s="36">
        <v>41457.0</v>
      </c>
      <c r="AC551" s="4">
        <v>0.646832048072</v>
      </c>
      <c r="AE551" t="str">
        <f t="shared" si="14"/>
        <v>2013-07</v>
      </c>
      <c r="AG551" s="36">
        <v>42374.0</v>
      </c>
      <c r="AH551" s="4">
        <v>0.666765409807</v>
      </c>
      <c r="AJ551" s="48" t="str">
        <f t="shared" si="16"/>
        <v>2016-01</v>
      </c>
      <c r="AL551" s="36">
        <v>42203.0</v>
      </c>
      <c r="AM551" s="4">
        <v>0.651719326238</v>
      </c>
      <c r="AO551" s="49" t="str">
        <f t="shared" si="18"/>
        <v>2015-07</v>
      </c>
    </row>
    <row r="552">
      <c r="A552" s="36">
        <v>41448.0</v>
      </c>
      <c r="B552" s="34">
        <v>0.584275198899</v>
      </c>
      <c r="D552" t="str">
        <f t="shared" si="6"/>
        <v>2013-06</v>
      </c>
      <c r="G552" s="36">
        <v>41833.0</v>
      </c>
      <c r="H552" s="34">
        <v>0.757844268829</v>
      </c>
      <c r="J552" t="str">
        <f t="shared" si="8"/>
        <v>2014-07</v>
      </c>
      <c r="K552" s="44"/>
      <c r="L552" s="46">
        <v>42207.0</v>
      </c>
      <c r="M552" s="4">
        <v>0.758597002501</v>
      </c>
      <c r="O552" t="str">
        <f t="shared" si="10"/>
        <v>2015-07</v>
      </c>
      <c r="AB552" s="36">
        <v>41458.0</v>
      </c>
      <c r="AC552" s="4">
        <v>0.764921432235</v>
      </c>
      <c r="AE552" t="str">
        <f t="shared" si="14"/>
        <v>2013-07</v>
      </c>
      <c r="AG552" s="36">
        <v>42380.0</v>
      </c>
      <c r="AH552" s="4">
        <v>0.712133157005</v>
      </c>
      <c r="AJ552" s="48" t="str">
        <f t="shared" si="16"/>
        <v>2016-01</v>
      </c>
      <c r="AL552" s="36">
        <v>42209.0</v>
      </c>
      <c r="AM552" s="4">
        <v>0.731805889005</v>
      </c>
      <c r="AO552" s="49" t="str">
        <f t="shared" si="18"/>
        <v>2015-07</v>
      </c>
    </row>
    <row r="553">
      <c r="A553" s="36">
        <v>41449.0</v>
      </c>
      <c r="B553" s="34">
        <v>0.671051785594</v>
      </c>
      <c r="D553" t="str">
        <f t="shared" si="6"/>
        <v>2013-06</v>
      </c>
      <c r="G553" s="36">
        <v>41834.0</v>
      </c>
      <c r="H553" s="34">
        <v>0.752033186393</v>
      </c>
      <c r="J553" t="str">
        <f t="shared" si="8"/>
        <v>2014-07</v>
      </c>
      <c r="K553" s="44"/>
      <c r="L553" s="46">
        <v>42208.0</v>
      </c>
      <c r="M553" s="4">
        <v>0.655619317785</v>
      </c>
      <c r="O553" t="str">
        <f t="shared" si="10"/>
        <v>2015-07</v>
      </c>
      <c r="AB553" s="36">
        <v>41464.0</v>
      </c>
      <c r="AC553" s="4">
        <v>0.694678371713</v>
      </c>
      <c r="AE553" t="str">
        <f t="shared" si="14"/>
        <v>2013-07</v>
      </c>
      <c r="AG553" s="36">
        <v>42381.0</v>
      </c>
      <c r="AH553" s="4">
        <v>0.738210515214</v>
      </c>
      <c r="AJ553" s="48" t="str">
        <f t="shared" si="16"/>
        <v>2016-01</v>
      </c>
      <c r="AL553" s="36">
        <v>42210.0</v>
      </c>
      <c r="AM553" s="4">
        <v>0.725274957478</v>
      </c>
      <c r="AO553" s="49" t="str">
        <f t="shared" si="18"/>
        <v>2015-07</v>
      </c>
    </row>
    <row r="554">
      <c r="A554" s="36">
        <v>41455.0</v>
      </c>
      <c r="B554" s="34">
        <v>0.698159470952</v>
      </c>
      <c r="D554" t="str">
        <f t="shared" si="6"/>
        <v>2013-06</v>
      </c>
      <c r="G554" s="36">
        <v>41841.0</v>
      </c>
      <c r="H554" s="34">
        <v>0.725813976761</v>
      </c>
      <c r="J554" t="str">
        <f t="shared" si="8"/>
        <v>2014-07</v>
      </c>
      <c r="K554" s="44"/>
      <c r="L554" s="46">
        <v>42214.0</v>
      </c>
      <c r="M554" s="4">
        <v>0.749274849946</v>
      </c>
      <c r="O554" t="str">
        <f t="shared" si="10"/>
        <v>2015-07</v>
      </c>
      <c r="AB554" s="36">
        <v>41465.0</v>
      </c>
      <c r="AC554" s="4">
        <v>0.759500458863</v>
      </c>
      <c r="AE554" t="str">
        <f t="shared" si="14"/>
        <v>2013-07</v>
      </c>
      <c r="AG554" s="36">
        <v>42387.0</v>
      </c>
      <c r="AH554" s="4">
        <v>0.643974996491</v>
      </c>
      <c r="AJ554" s="48" t="str">
        <f t="shared" si="16"/>
        <v>2016-01</v>
      </c>
      <c r="AL554" s="36">
        <v>42216.0</v>
      </c>
      <c r="AM554" s="4">
        <v>0.701147951051</v>
      </c>
      <c r="AO554" s="49" t="str">
        <f t="shared" si="18"/>
        <v>2015-07</v>
      </c>
    </row>
    <row r="555">
      <c r="A555" s="36">
        <v>41456.0</v>
      </c>
      <c r="B555" s="34">
        <v>0.660293022888</v>
      </c>
      <c r="D555" t="str">
        <f t="shared" si="6"/>
        <v>2013-07</v>
      </c>
      <c r="G555" s="36">
        <v>41848.0</v>
      </c>
      <c r="H555" s="34">
        <v>0.745704839932</v>
      </c>
      <c r="J555" t="str">
        <f t="shared" si="8"/>
        <v>2014-07</v>
      </c>
      <c r="K555" s="44"/>
      <c r="L555" s="46">
        <v>42215.0</v>
      </c>
      <c r="M555" s="4">
        <v>0.837551799408</v>
      </c>
      <c r="O555" t="str">
        <f t="shared" si="10"/>
        <v>2015-07</v>
      </c>
      <c r="AB555" s="36">
        <v>41471.0</v>
      </c>
      <c r="AC555" s="4">
        <v>0.722585769447</v>
      </c>
      <c r="AE555" t="str">
        <f t="shared" si="14"/>
        <v>2013-07</v>
      </c>
      <c r="AG555" s="36">
        <v>42388.0</v>
      </c>
      <c r="AH555" s="4">
        <v>0.702085718813</v>
      </c>
      <c r="AJ555" s="48" t="str">
        <f t="shared" si="16"/>
        <v>2016-01</v>
      </c>
      <c r="AL555" s="36">
        <v>42217.0</v>
      </c>
      <c r="AM555" s="4">
        <v>0.66903267005</v>
      </c>
      <c r="AO555" s="49" t="str">
        <f t="shared" si="18"/>
        <v>2015-08</v>
      </c>
    </row>
    <row r="556">
      <c r="A556" s="36">
        <v>41462.0</v>
      </c>
      <c r="B556" s="34">
        <v>0.678092758651</v>
      </c>
      <c r="D556" t="str">
        <f t="shared" si="6"/>
        <v>2013-07</v>
      </c>
      <c r="G556" s="36">
        <v>41855.0</v>
      </c>
      <c r="H556" s="34">
        <v>0.729550543301</v>
      </c>
      <c r="J556" t="str">
        <f t="shared" si="8"/>
        <v>2014-08</v>
      </c>
      <c r="K556" s="44"/>
      <c r="L556" s="46">
        <v>42221.0</v>
      </c>
      <c r="M556" s="4">
        <v>0.662442330543</v>
      </c>
      <c r="O556" t="str">
        <f t="shared" si="10"/>
        <v>2015-08</v>
      </c>
      <c r="AB556" s="36">
        <v>41472.0</v>
      </c>
      <c r="AC556" s="4">
        <v>0.805601157021</v>
      </c>
      <c r="AE556" t="str">
        <f t="shared" si="14"/>
        <v>2013-07</v>
      </c>
      <c r="AG556" s="36">
        <v>42394.0</v>
      </c>
      <c r="AH556" s="4">
        <v>0.71813265249</v>
      </c>
      <c r="AJ556" s="48" t="str">
        <f t="shared" si="16"/>
        <v>2016-01</v>
      </c>
      <c r="AL556" s="36">
        <v>42223.0</v>
      </c>
      <c r="AM556" s="4">
        <v>0.782277168403</v>
      </c>
      <c r="AO556" s="49" t="str">
        <f t="shared" si="18"/>
        <v>2015-08</v>
      </c>
    </row>
    <row r="557">
      <c r="A557" s="36">
        <v>41463.0</v>
      </c>
      <c r="B557" s="34">
        <v>0.54023803554</v>
      </c>
      <c r="D557" t="str">
        <f t="shared" si="6"/>
        <v>2013-07</v>
      </c>
      <c r="G557" s="36">
        <v>41862.0</v>
      </c>
      <c r="H557" s="34">
        <v>0.713044442129</v>
      </c>
      <c r="J557" t="str">
        <f t="shared" si="8"/>
        <v>2014-08</v>
      </c>
      <c r="K557" s="44"/>
      <c r="L557" s="46">
        <v>42222.0</v>
      </c>
      <c r="M557" s="4">
        <v>0.811518380956</v>
      </c>
      <c r="O557" t="str">
        <f t="shared" si="10"/>
        <v>2015-08</v>
      </c>
      <c r="AB557" s="36">
        <v>41478.0</v>
      </c>
      <c r="AC557" s="4">
        <v>0.70132456507</v>
      </c>
      <c r="AE557" t="str">
        <f t="shared" si="14"/>
        <v>2013-07</v>
      </c>
      <c r="AG557" s="36">
        <v>42395.0</v>
      </c>
      <c r="AH557" s="4">
        <v>0.577215014698</v>
      </c>
      <c r="AJ557" s="48" t="str">
        <f t="shared" si="16"/>
        <v>2016-01</v>
      </c>
      <c r="AL557" s="36">
        <v>42224.0</v>
      </c>
      <c r="AM557" s="4">
        <v>0.735509905738</v>
      </c>
      <c r="AO557" s="49" t="str">
        <f t="shared" si="18"/>
        <v>2015-08</v>
      </c>
    </row>
    <row r="558">
      <c r="A558" s="36">
        <v>41469.0</v>
      </c>
      <c r="B558" s="34">
        <v>0.709678598243</v>
      </c>
      <c r="D558" t="str">
        <f t="shared" si="6"/>
        <v>2013-07</v>
      </c>
      <c r="G558" s="36">
        <v>41868.0</v>
      </c>
      <c r="H558" s="34">
        <v>0.717887380422</v>
      </c>
      <c r="J558" t="str">
        <f t="shared" si="8"/>
        <v>2014-08</v>
      </c>
      <c r="K558" s="44"/>
      <c r="L558" s="46">
        <v>42228.0</v>
      </c>
      <c r="M558" s="4">
        <v>0.752537870688</v>
      </c>
      <c r="O558" t="str">
        <f t="shared" si="10"/>
        <v>2015-08</v>
      </c>
      <c r="AB558" s="36">
        <v>41479.0</v>
      </c>
      <c r="AC558" s="4">
        <v>0.535819157136</v>
      </c>
      <c r="AE558" t="str">
        <f t="shared" si="14"/>
        <v>2013-07</v>
      </c>
      <c r="AG558" s="36">
        <v>42401.0</v>
      </c>
      <c r="AH558" s="4">
        <v>0.796176897285</v>
      </c>
      <c r="AJ558" s="48" t="str">
        <f t="shared" si="16"/>
        <v>2016-02</v>
      </c>
      <c r="AL558" s="36">
        <v>42230.0</v>
      </c>
      <c r="AM558" s="4">
        <v>0.759487809397</v>
      </c>
      <c r="AO558" s="49" t="str">
        <f t="shared" si="18"/>
        <v>2015-08</v>
      </c>
    </row>
    <row r="559">
      <c r="A559" s="36">
        <v>41470.0</v>
      </c>
      <c r="B559" s="34">
        <v>0.677359068394</v>
      </c>
      <c r="D559" t="str">
        <f t="shared" si="6"/>
        <v>2013-07</v>
      </c>
      <c r="G559" s="36">
        <v>41869.0</v>
      </c>
      <c r="H559" s="34">
        <v>0.696496761829</v>
      </c>
      <c r="J559" t="str">
        <f t="shared" si="8"/>
        <v>2014-08</v>
      </c>
      <c r="K559" s="44"/>
      <c r="L559" s="46">
        <v>42229.0</v>
      </c>
      <c r="M559" s="4">
        <v>0.678044728202</v>
      </c>
      <c r="O559" t="str">
        <f t="shared" si="10"/>
        <v>2015-08</v>
      </c>
      <c r="AB559" s="36">
        <v>41485.0</v>
      </c>
      <c r="AC559" s="4">
        <v>0.699884544494</v>
      </c>
      <c r="AE559" t="str">
        <f t="shared" si="14"/>
        <v>2013-07</v>
      </c>
      <c r="AG559" s="36">
        <v>42402.0</v>
      </c>
      <c r="AH559" s="4">
        <v>0.687889850803</v>
      </c>
      <c r="AJ559" s="48" t="str">
        <f t="shared" si="16"/>
        <v>2016-02</v>
      </c>
      <c r="AL559" s="36">
        <v>42231.0</v>
      </c>
      <c r="AM559" s="4">
        <v>0.512371156525</v>
      </c>
      <c r="AO559" s="49" t="str">
        <f t="shared" si="18"/>
        <v>2015-08</v>
      </c>
    </row>
    <row r="560">
      <c r="A560" s="36">
        <v>41476.0</v>
      </c>
      <c r="B560" s="34">
        <v>0.71378060188</v>
      </c>
      <c r="D560" t="str">
        <f t="shared" si="6"/>
        <v>2013-07</v>
      </c>
      <c r="G560" s="36">
        <v>41875.0</v>
      </c>
      <c r="H560" s="34">
        <v>0.663316060898</v>
      </c>
      <c r="J560" t="str">
        <f t="shared" si="8"/>
        <v>2014-08</v>
      </c>
      <c r="K560" s="44"/>
      <c r="L560" s="46">
        <v>42235.0</v>
      </c>
      <c r="M560" s="4">
        <v>0.730640340784</v>
      </c>
      <c r="O560" t="str">
        <f t="shared" si="10"/>
        <v>2015-08</v>
      </c>
      <c r="AB560" s="36">
        <v>41486.0</v>
      </c>
      <c r="AC560" s="4">
        <v>0.699680204317</v>
      </c>
      <c r="AE560" t="str">
        <f t="shared" si="14"/>
        <v>2013-07</v>
      </c>
      <c r="AG560" s="36">
        <v>42408.0</v>
      </c>
      <c r="AH560" s="4">
        <v>0.63929057166</v>
      </c>
      <c r="AJ560" s="48" t="str">
        <f t="shared" si="16"/>
        <v>2016-02</v>
      </c>
      <c r="AL560" s="36">
        <v>42237.0</v>
      </c>
      <c r="AM560" s="4">
        <v>0.678766020712</v>
      </c>
      <c r="AO560" s="49" t="str">
        <f t="shared" si="18"/>
        <v>2015-08</v>
      </c>
    </row>
    <row r="561">
      <c r="A561" s="36">
        <v>41477.0</v>
      </c>
      <c r="B561" s="34">
        <v>0.68426468227</v>
      </c>
      <c r="D561" t="str">
        <f t="shared" si="6"/>
        <v>2013-07</v>
      </c>
      <c r="G561" s="36">
        <v>41876.0</v>
      </c>
      <c r="H561" s="34">
        <v>0.735525146496</v>
      </c>
      <c r="J561" t="str">
        <f t="shared" si="8"/>
        <v>2014-08</v>
      </c>
      <c r="K561" s="44"/>
      <c r="L561" s="46">
        <v>42236.0</v>
      </c>
      <c r="M561" s="4">
        <v>0.531115133102</v>
      </c>
      <c r="O561" t="str">
        <f t="shared" si="10"/>
        <v>2015-08</v>
      </c>
      <c r="AB561" s="36">
        <v>41491.0</v>
      </c>
      <c r="AC561" s="4">
        <v>0.64500714511</v>
      </c>
      <c r="AE561" t="str">
        <f t="shared" si="14"/>
        <v>2013-08</v>
      </c>
      <c r="AG561" s="36">
        <v>42409.0</v>
      </c>
      <c r="AH561" s="4">
        <v>0.620134840634</v>
      </c>
      <c r="AJ561" s="48" t="str">
        <f t="shared" si="16"/>
        <v>2016-02</v>
      </c>
      <c r="AL561" s="36">
        <v>42238.0</v>
      </c>
      <c r="AM561" s="4">
        <v>0.786998696127</v>
      </c>
      <c r="AO561" s="49" t="str">
        <f t="shared" si="18"/>
        <v>2015-08</v>
      </c>
    </row>
    <row r="562">
      <c r="A562" s="36">
        <v>41483.0</v>
      </c>
      <c r="B562" s="34">
        <v>0.676026247128</v>
      </c>
      <c r="D562" t="str">
        <f t="shared" si="6"/>
        <v>2013-07</v>
      </c>
      <c r="G562" s="36">
        <v>41882.0</v>
      </c>
      <c r="H562" s="34">
        <v>0.703302073309</v>
      </c>
      <c r="J562" t="str">
        <f t="shared" si="8"/>
        <v>2014-08</v>
      </c>
      <c r="K562" s="44"/>
      <c r="L562" s="46">
        <v>42242.0</v>
      </c>
      <c r="M562" s="4">
        <v>0.74235765181</v>
      </c>
      <c r="O562" t="str">
        <f t="shared" si="10"/>
        <v>2015-08</v>
      </c>
      <c r="AB562" s="36">
        <v>41492.0</v>
      </c>
      <c r="AC562" s="4">
        <v>0.632863712539</v>
      </c>
      <c r="AE562" t="str">
        <f t="shared" si="14"/>
        <v>2013-08</v>
      </c>
      <c r="AG562" s="36">
        <v>42415.0</v>
      </c>
      <c r="AH562" s="4">
        <v>0.637375105062</v>
      </c>
      <c r="AJ562" s="48" t="str">
        <f t="shared" si="16"/>
        <v>2016-02</v>
      </c>
      <c r="AL562" s="36">
        <v>42244.0</v>
      </c>
      <c r="AM562" s="4">
        <v>0.741069389908</v>
      </c>
      <c r="AO562" s="49" t="str">
        <f t="shared" si="18"/>
        <v>2015-08</v>
      </c>
    </row>
    <row r="563">
      <c r="A563" s="36">
        <v>41484.0</v>
      </c>
      <c r="B563" s="34">
        <v>0.556478231873</v>
      </c>
      <c r="D563" t="str">
        <f t="shared" si="6"/>
        <v>2013-07</v>
      </c>
      <c r="G563" s="36">
        <v>41883.0</v>
      </c>
      <c r="H563" s="34">
        <v>0.73144965718</v>
      </c>
      <c r="J563" t="str">
        <f t="shared" si="8"/>
        <v>2014-09</v>
      </c>
      <c r="K563" s="44"/>
      <c r="L563" s="46">
        <v>42243.0</v>
      </c>
      <c r="M563" s="4">
        <v>0.672294428364</v>
      </c>
      <c r="O563" t="str">
        <f t="shared" si="10"/>
        <v>2015-08</v>
      </c>
      <c r="AB563" s="36">
        <v>41493.0</v>
      </c>
      <c r="AC563" s="4">
        <v>0.698334949698</v>
      </c>
      <c r="AE563" t="str">
        <f t="shared" si="14"/>
        <v>2013-08</v>
      </c>
      <c r="AG563" s="36">
        <v>42416.0</v>
      </c>
      <c r="AH563" s="4">
        <v>0.753184789942</v>
      </c>
      <c r="AJ563" s="48" t="str">
        <f t="shared" si="16"/>
        <v>2016-02</v>
      </c>
      <c r="AL563" s="36">
        <v>42245.0</v>
      </c>
      <c r="AM563" s="4">
        <v>0.66124263815</v>
      </c>
      <c r="AO563" s="49" t="str">
        <f t="shared" si="18"/>
        <v>2015-08</v>
      </c>
    </row>
    <row r="564">
      <c r="A564" s="36">
        <v>41490.0</v>
      </c>
      <c r="B564" s="34">
        <v>0.622140722452</v>
      </c>
      <c r="D564" t="str">
        <f t="shared" si="6"/>
        <v>2013-08</v>
      </c>
      <c r="G564" s="36">
        <v>41889.0</v>
      </c>
      <c r="H564" s="34">
        <v>0.702585630804</v>
      </c>
      <c r="J564" t="str">
        <f t="shared" si="8"/>
        <v>2014-09</v>
      </c>
      <c r="K564" s="44"/>
      <c r="L564" s="46">
        <v>42249.0</v>
      </c>
      <c r="M564" s="4">
        <v>0.742505494931</v>
      </c>
      <c r="O564" t="str">
        <f t="shared" si="10"/>
        <v>2015-09</v>
      </c>
      <c r="AB564" s="36">
        <v>41499.0</v>
      </c>
      <c r="AC564" s="4">
        <v>0.546038223836</v>
      </c>
      <c r="AE564" t="str">
        <f t="shared" si="14"/>
        <v>2013-08</v>
      </c>
      <c r="AG564" s="36">
        <v>42422.0</v>
      </c>
      <c r="AH564" s="4">
        <v>0.718051621732</v>
      </c>
      <c r="AJ564" s="48" t="str">
        <f t="shared" si="16"/>
        <v>2016-02</v>
      </c>
      <c r="AL564" s="36">
        <v>42251.0</v>
      </c>
      <c r="AM564" s="4">
        <v>0.744461033242</v>
      </c>
      <c r="AO564" s="49" t="str">
        <f t="shared" si="18"/>
        <v>2015-09</v>
      </c>
    </row>
    <row r="565">
      <c r="A565" s="36">
        <v>41491.0</v>
      </c>
      <c r="B565" s="34">
        <v>0.748682804102</v>
      </c>
      <c r="D565" t="str">
        <f t="shared" si="6"/>
        <v>2013-08</v>
      </c>
      <c r="G565" s="36">
        <v>41890.0</v>
      </c>
      <c r="H565" s="34">
        <v>0.8114099953</v>
      </c>
      <c r="J565" t="str">
        <f t="shared" si="8"/>
        <v>2014-09</v>
      </c>
      <c r="K565" s="44"/>
      <c r="L565" s="46">
        <v>42250.0</v>
      </c>
      <c r="M565" s="4">
        <v>0.827402108535</v>
      </c>
      <c r="O565" t="str">
        <f t="shared" si="10"/>
        <v>2015-09</v>
      </c>
      <c r="AB565" s="36">
        <v>41500.0</v>
      </c>
      <c r="AC565" s="4">
        <v>0.784288627001</v>
      </c>
      <c r="AE565" t="str">
        <f t="shared" si="14"/>
        <v>2013-08</v>
      </c>
      <c r="AG565" s="36">
        <v>42423.0</v>
      </c>
      <c r="AH565" s="4">
        <v>0.651400396436</v>
      </c>
      <c r="AJ565" s="48" t="str">
        <f t="shared" si="16"/>
        <v>2016-02</v>
      </c>
      <c r="AL565" s="36">
        <v>42258.0</v>
      </c>
      <c r="AM565" s="4">
        <v>0.73635548469</v>
      </c>
      <c r="AO565" s="49" t="str">
        <f t="shared" si="18"/>
        <v>2015-09</v>
      </c>
    </row>
    <row r="566">
      <c r="A566" s="36">
        <v>41497.0</v>
      </c>
      <c r="B566" s="34">
        <v>0.642332808958</v>
      </c>
      <c r="D566" t="str">
        <f t="shared" si="6"/>
        <v>2013-08</v>
      </c>
      <c r="G566" s="36">
        <v>41896.0</v>
      </c>
      <c r="H566" s="34">
        <v>0.747095553932</v>
      </c>
      <c r="J566" t="str">
        <f t="shared" si="8"/>
        <v>2014-09</v>
      </c>
      <c r="K566" s="44"/>
      <c r="L566" s="46">
        <v>42256.0</v>
      </c>
      <c r="M566" s="4">
        <v>0.759438753579</v>
      </c>
      <c r="O566" t="str">
        <f t="shared" si="10"/>
        <v>2015-09</v>
      </c>
      <c r="AB566" s="36">
        <v>41506.0</v>
      </c>
      <c r="AC566" s="4">
        <v>0.643734797116</v>
      </c>
      <c r="AE566" t="str">
        <f t="shared" si="14"/>
        <v>2013-08</v>
      </c>
      <c r="AG566" s="36">
        <v>42429.0</v>
      </c>
      <c r="AH566" s="4">
        <v>0.741701066653</v>
      </c>
      <c r="AJ566" s="48" t="str">
        <f t="shared" si="16"/>
        <v>2016-02</v>
      </c>
      <c r="AL566" s="36">
        <v>42265.0</v>
      </c>
      <c r="AM566" s="4">
        <v>0.800305416914</v>
      </c>
      <c r="AO566" s="49" t="str">
        <f t="shared" si="18"/>
        <v>2015-09</v>
      </c>
    </row>
    <row r="567">
      <c r="A567" s="36">
        <v>41498.0</v>
      </c>
      <c r="B567" s="34">
        <v>0.538278654218</v>
      </c>
      <c r="D567" t="str">
        <f t="shared" si="6"/>
        <v>2013-08</v>
      </c>
      <c r="G567" s="36">
        <v>41897.0</v>
      </c>
      <c r="H567" s="34">
        <v>0.701810674388</v>
      </c>
      <c r="J567" t="str">
        <f t="shared" si="8"/>
        <v>2014-09</v>
      </c>
      <c r="K567" s="44"/>
      <c r="L567" s="46">
        <v>42257.0</v>
      </c>
      <c r="M567" s="4">
        <v>0.830741271076</v>
      </c>
      <c r="O567" t="str">
        <f t="shared" si="10"/>
        <v>2015-09</v>
      </c>
      <c r="AB567" s="36">
        <v>41507.0</v>
      </c>
      <c r="AC567" s="4">
        <v>0.718115939627</v>
      </c>
      <c r="AE567" t="str">
        <f t="shared" si="14"/>
        <v>2013-08</v>
      </c>
      <c r="AG567" s="36">
        <v>42430.0</v>
      </c>
      <c r="AH567" s="4">
        <v>0.76145874631</v>
      </c>
      <c r="AJ567" s="48" t="str">
        <f t="shared" si="16"/>
        <v>2016-03</v>
      </c>
      <c r="AL567" s="36">
        <v>42266.0</v>
      </c>
      <c r="AM567" s="4">
        <v>0.758055612858</v>
      </c>
      <c r="AO567" s="49" t="str">
        <f t="shared" si="18"/>
        <v>2015-09</v>
      </c>
    </row>
    <row r="568">
      <c r="A568" s="36">
        <v>41504.0</v>
      </c>
      <c r="B568" s="34">
        <v>0.679853186041</v>
      </c>
      <c r="D568" t="str">
        <f t="shared" si="6"/>
        <v>2013-08</v>
      </c>
      <c r="G568" s="36">
        <v>41903.0</v>
      </c>
      <c r="H568" s="34">
        <v>0.656447939544</v>
      </c>
      <c r="J568" t="str">
        <f t="shared" si="8"/>
        <v>2014-09</v>
      </c>
      <c r="K568" s="44"/>
      <c r="L568" s="46">
        <v>42263.0</v>
      </c>
      <c r="M568" s="4">
        <v>0.792615992937</v>
      </c>
      <c r="O568" t="str">
        <f t="shared" si="10"/>
        <v>2015-09</v>
      </c>
      <c r="AB568" s="36">
        <v>41513.0</v>
      </c>
      <c r="AC568" s="4">
        <v>0.734750992237</v>
      </c>
      <c r="AE568" t="str">
        <f t="shared" si="14"/>
        <v>2013-08</v>
      </c>
      <c r="AG568" s="36">
        <v>42436.0</v>
      </c>
      <c r="AH568" s="4">
        <v>0.788108661987</v>
      </c>
      <c r="AJ568" s="48" t="str">
        <f t="shared" si="16"/>
        <v>2016-03</v>
      </c>
      <c r="AL568" s="36">
        <v>42272.0</v>
      </c>
      <c r="AM568" s="4">
        <v>0.716304919763</v>
      </c>
      <c r="AO568" s="49" t="str">
        <f t="shared" si="18"/>
        <v>2015-09</v>
      </c>
    </row>
    <row r="569">
      <c r="A569" s="36">
        <v>41505.0</v>
      </c>
      <c r="B569" s="34">
        <v>0.763217529398</v>
      </c>
      <c r="D569" t="str">
        <f t="shared" si="6"/>
        <v>2013-08</v>
      </c>
      <c r="G569" s="36">
        <v>41904.0</v>
      </c>
      <c r="H569" s="34">
        <v>0.681362245536</v>
      </c>
      <c r="J569" t="str">
        <f t="shared" si="8"/>
        <v>2014-09</v>
      </c>
      <c r="K569" s="44"/>
      <c r="L569" s="46">
        <v>42264.0</v>
      </c>
      <c r="M569" s="4">
        <v>0.821286292855</v>
      </c>
      <c r="O569" t="str">
        <f t="shared" si="10"/>
        <v>2015-09</v>
      </c>
      <c r="AB569" s="36">
        <v>41514.0</v>
      </c>
      <c r="AC569" s="4">
        <v>0.805601157021</v>
      </c>
      <c r="AE569" t="str">
        <f t="shared" si="14"/>
        <v>2013-08</v>
      </c>
      <c r="AG569" s="36">
        <v>42437.0</v>
      </c>
      <c r="AH569" s="4">
        <v>0.719351223352</v>
      </c>
      <c r="AJ569" s="48" t="str">
        <f t="shared" si="16"/>
        <v>2016-03</v>
      </c>
      <c r="AL569" s="36">
        <v>42273.0</v>
      </c>
      <c r="AM569" s="4">
        <v>0.671519925731</v>
      </c>
      <c r="AO569" s="49" t="str">
        <f t="shared" si="18"/>
        <v>2015-09</v>
      </c>
    </row>
    <row r="570">
      <c r="A570" s="36">
        <v>41511.0</v>
      </c>
      <c r="B570" s="34">
        <v>0.626817201947</v>
      </c>
      <c r="D570" t="str">
        <f t="shared" si="6"/>
        <v>2013-08</v>
      </c>
      <c r="G570" s="36">
        <v>41910.0</v>
      </c>
      <c r="H570" s="34">
        <v>0.741122879818</v>
      </c>
      <c r="J570" t="str">
        <f t="shared" si="8"/>
        <v>2014-09</v>
      </c>
      <c r="K570" s="44"/>
      <c r="L570" s="46">
        <v>42270.0</v>
      </c>
      <c r="M570" s="4">
        <v>0.729598127543</v>
      </c>
      <c r="O570" t="str">
        <f t="shared" si="10"/>
        <v>2015-09</v>
      </c>
      <c r="AB570" s="36">
        <v>41520.0</v>
      </c>
      <c r="AC570" s="4">
        <v>0.742788622605</v>
      </c>
      <c r="AE570" t="str">
        <f t="shared" si="14"/>
        <v>2013-09</v>
      </c>
      <c r="AG570" s="36">
        <v>42443.0</v>
      </c>
      <c r="AH570" s="4">
        <v>0.708932414465</v>
      </c>
      <c r="AJ570" s="48" t="str">
        <f t="shared" si="16"/>
        <v>2016-03</v>
      </c>
      <c r="AL570" s="36">
        <v>42279.0</v>
      </c>
      <c r="AM570" s="4">
        <v>0.671560881915</v>
      </c>
      <c r="AO570" s="49" t="str">
        <f t="shared" si="18"/>
        <v>2015-10</v>
      </c>
    </row>
    <row r="571">
      <c r="A571" s="36">
        <v>41512.0</v>
      </c>
      <c r="B571" s="34">
        <v>0.687183985514</v>
      </c>
      <c r="D571" t="str">
        <f t="shared" si="6"/>
        <v>2013-08</v>
      </c>
      <c r="G571" s="36">
        <v>41911.0</v>
      </c>
      <c r="H571" s="34">
        <v>0.712423827348</v>
      </c>
      <c r="J571" t="str">
        <f t="shared" si="8"/>
        <v>2014-09</v>
      </c>
      <c r="K571" s="44"/>
      <c r="L571" s="46">
        <v>42271.0</v>
      </c>
      <c r="M571" s="4">
        <v>0.71773531084</v>
      </c>
      <c r="O571" t="str">
        <f t="shared" si="10"/>
        <v>2015-09</v>
      </c>
      <c r="AB571" s="36">
        <v>41521.0</v>
      </c>
      <c r="AC571" s="4">
        <v>0.797786450881</v>
      </c>
      <c r="AE571" t="str">
        <f t="shared" si="14"/>
        <v>2013-09</v>
      </c>
      <c r="AG571" s="36">
        <v>42444.0</v>
      </c>
      <c r="AH571" s="4">
        <v>0.671765762616</v>
      </c>
      <c r="AJ571" s="48" t="str">
        <f t="shared" si="16"/>
        <v>2016-03</v>
      </c>
      <c r="AL571" s="36">
        <v>42286.0</v>
      </c>
      <c r="AM571" s="4">
        <v>0.746006821123</v>
      </c>
      <c r="AO571" s="49" t="str">
        <f t="shared" si="18"/>
        <v>2015-10</v>
      </c>
    </row>
    <row r="572">
      <c r="A572" s="36">
        <v>41518.0</v>
      </c>
      <c r="B572" s="34">
        <v>0.620799859941</v>
      </c>
      <c r="D572" t="str">
        <f t="shared" si="6"/>
        <v>2013-09</v>
      </c>
      <c r="G572" s="36">
        <v>41917.0</v>
      </c>
      <c r="H572" s="34">
        <v>0.588793372381</v>
      </c>
      <c r="J572" t="str">
        <f t="shared" si="8"/>
        <v>2014-10</v>
      </c>
      <c r="K572" s="44"/>
      <c r="L572" s="46">
        <v>42277.0</v>
      </c>
      <c r="M572" s="4">
        <v>0.711962979028</v>
      </c>
      <c r="O572" t="str">
        <f t="shared" si="10"/>
        <v>2015-09</v>
      </c>
      <c r="AB572" s="36">
        <v>41527.0</v>
      </c>
      <c r="AC572" s="4">
        <v>0.690518656966</v>
      </c>
      <c r="AE572" t="str">
        <f t="shared" si="14"/>
        <v>2013-09</v>
      </c>
      <c r="AG572" s="36">
        <v>42450.0</v>
      </c>
      <c r="AH572" s="4">
        <v>0.692670303867</v>
      </c>
      <c r="AJ572" s="48" t="str">
        <f t="shared" si="16"/>
        <v>2016-03</v>
      </c>
      <c r="AL572" s="36">
        <v>42293.0</v>
      </c>
      <c r="AM572" s="4">
        <v>0.785879951169</v>
      </c>
      <c r="AO572" s="49" t="str">
        <f t="shared" si="18"/>
        <v>2015-10</v>
      </c>
    </row>
    <row r="573">
      <c r="A573" s="36">
        <v>41519.0</v>
      </c>
      <c r="B573" s="34">
        <v>0.76803620525</v>
      </c>
      <c r="D573" t="str">
        <f t="shared" si="6"/>
        <v>2013-09</v>
      </c>
      <c r="G573" s="36">
        <v>41918.0</v>
      </c>
      <c r="H573" s="34">
        <v>0.714615001274</v>
      </c>
      <c r="J573" t="str">
        <f t="shared" si="8"/>
        <v>2014-10</v>
      </c>
      <c r="K573" s="44"/>
      <c r="L573" s="46">
        <v>42278.0</v>
      </c>
      <c r="M573" s="4">
        <v>0.79003211537</v>
      </c>
      <c r="O573" t="str">
        <f t="shared" si="10"/>
        <v>2015-10</v>
      </c>
      <c r="AB573" s="36">
        <v>41528.0</v>
      </c>
      <c r="AC573" s="4">
        <v>0.681203537762</v>
      </c>
      <c r="AE573" t="str">
        <f t="shared" si="14"/>
        <v>2013-09</v>
      </c>
      <c r="AG573" s="36">
        <v>42451.0</v>
      </c>
      <c r="AH573" s="4">
        <v>0.489396989776</v>
      </c>
      <c r="AJ573" s="48" t="str">
        <f t="shared" si="16"/>
        <v>2016-03</v>
      </c>
      <c r="AL573" s="36">
        <v>42294.0</v>
      </c>
      <c r="AM573" s="4">
        <v>0.80683901755</v>
      </c>
      <c r="AO573" s="49" t="str">
        <f t="shared" si="18"/>
        <v>2015-10</v>
      </c>
    </row>
    <row r="574">
      <c r="A574" s="36">
        <v>41525.0</v>
      </c>
      <c r="B574" s="34">
        <v>0.727168499158</v>
      </c>
      <c r="D574" t="str">
        <f t="shared" si="6"/>
        <v>2013-09</v>
      </c>
      <c r="G574" s="36">
        <v>41924.0</v>
      </c>
      <c r="H574" s="34">
        <v>0.475207297832</v>
      </c>
      <c r="J574" t="str">
        <f t="shared" si="8"/>
        <v>2014-10</v>
      </c>
      <c r="K574" s="44"/>
      <c r="L574" s="46">
        <v>42284.0</v>
      </c>
      <c r="M574" s="4">
        <v>0.76496992579</v>
      </c>
      <c r="O574" t="str">
        <f t="shared" si="10"/>
        <v>2015-10</v>
      </c>
      <c r="AB574" s="36">
        <v>41534.0</v>
      </c>
      <c r="AC574" s="4">
        <v>0.651935749443</v>
      </c>
      <c r="AE574" t="str">
        <f t="shared" si="14"/>
        <v>2013-09</v>
      </c>
      <c r="AG574" s="36">
        <v>42457.0</v>
      </c>
      <c r="AH574" s="4">
        <v>0.639929587649</v>
      </c>
      <c r="AJ574" s="48" t="str">
        <f t="shared" si="16"/>
        <v>2016-03</v>
      </c>
      <c r="AL574" s="36">
        <v>42300.0</v>
      </c>
      <c r="AM574" s="4">
        <v>0.727643285779</v>
      </c>
      <c r="AO574" s="49" t="str">
        <f t="shared" si="18"/>
        <v>2015-10</v>
      </c>
    </row>
    <row r="575">
      <c r="A575" s="36">
        <v>41526.0</v>
      </c>
      <c r="B575" s="34">
        <v>0.739659290019</v>
      </c>
      <c r="D575" t="str">
        <f t="shared" si="6"/>
        <v>2013-09</v>
      </c>
      <c r="G575" s="36">
        <v>41925.0</v>
      </c>
      <c r="H575" s="34">
        <v>0.728687153438</v>
      </c>
      <c r="J575" t="str">
        <f t="shared" si="8"/>
        <v>2014-10</v>
      </c>
      <c r="K575" s="44"/>
      <c r="L575" s="46">
        <v>42285.0</v>
      </c>
      <c r="M575" s="4">
        <v>0.786221676987</v>
      </c>
      <c r="O575" t="str">
        <f t="shared" si="10"/>
        <v>2015-10</v>
      </c>
      <c r="AB575" s="36">
        <v>41535.0</v>
      </c>
      <c r="AC575" s="4">
        <v>0.724745220626</v>
      </c>
      <c r="AE575" t="str">
        <f t="shared" si="14"/>
        <v>2013-09</v>
      </c>
      <c r="AG575" s="36">
        <v>42458.0</v>
      </c>
      <c r="AH575" s="4">
        <v>0.614912213651</v>
      </c>
      <c r="AJ575" s="48" t="str">
        <f t="shared" si="16"/>
        <v>2016-03</v>
      </c>
      <c r="AL575" s="36">
        <v>42301.0</v>
      </c>
      <c r="AM575" s="4">
        <v>0.648341365258</v>
      </c>
      <c r="AO575" s="49" t="str">
        <f t="shared" si="18"/>
        <v>2015-10</v>
      </c>
    </row>
    <row r="576">
      <c r="A576" s="36">
        <v>41532.0</v>
      </c>
      <c r="B576" s="34">
        <v>0.667378817871</v>
      </c>
      <c r="D576" t="str">
        <f t="shared" si="6"/>
        <v>2013-09</v>
      </c>
      <c r="G576" s="36">
        <v>41931.0</v>
      </c>
      <c r="H576" s="34">
        <v>0.61131603785</v>
      </c>
      <c r="J576" t="str">
        <f t="shared" si="8"/>
        <v>2014-10</v>
      </c>
      <c r="K576" s="44"/>
      <c r="L576" s="46">
        <v>42291.0</v>
      </c>
      <c r="M576" s="4">
        <v>0.734140197284</v>
      </c>
      <c r="O576" t="str">
        <f t="shared" si="10"/>
        <v>2015-10</v>
      </c>
      <c r="AB576" s="36">
        <v>41541.0</v>
      </c>
      <c r="AC576" s="4">
        <v>0.699462709505</v>
      </c>
      <c r="AE576" t="str">
        <f t="shared" si="14"/>
        <v>2013-09</v>
      </c>
      <c r="AG576" s="36">
        <v>42464.0</v>
      </c>
      <c r="AH576" s="4">
        <v>0.670031866692</v>
      </c>
      <c r="AJ576" s="48" t="str">
        <f t="shared" si="16"/>
        <v>2016-04</v>
      </c>
      <c r="AL576" s="36">
        <v>42307.0</v>
      </c>
      <c r="AM576" s="4">
        <v>0.793992187588</v>
      </c>
      <c r="AO576" s="49" t="str">
        <f t="shared" si="18"/>
        <v>2015-10</v>
      </c>
    </row>
    <row r="577">
      <c r="A577" s="36">
        <v>41533.0</v>
      </c>
      <c r="B577" s="34">
        <v>0.68171635696</v>
      </c>
      <c r="D577" t="str">
        <f t="shared" si="6"/>
        <v>2013-09</v>
      </c>
      <c r="G577" s="36">
        <v>41932.0</v>
      </c>
      <c r="H577" s="34">
        <v>0.679025066849</v>
      </c>
      <c r="J577" t="str">
        <f t="shared" si="8"/>
        <v>2014-10</v>
      </c>
      <c r="K577" s="44"/>
      <c r="L577" s="46">
        <v>42292.0</v>
      </c>
      <c r="M577" s="4">
        <v>0.895168573529</v>
      </c>
      <c r="O577" t="str">
        <f t="shared" si="10"/>
        <v>2015-10</v>
      </c>
      <c r="AB577" s="36">
        <v>41542.0</v>
      </c>
      <c r="AC577" s="4">
        <v>0.561065826903</v>
      </c>
      <c r="AE577" t="str">
        <f t="shared" si="14"/>
        <v>2013-09</v>
      </c>
      <c r="AG577" s="36">
        <v>42465.0</v>
      </c>
      <c r="AH577" s="4">
        <v>0.661790782442</v>
      </c>
      <c r="AJ577" s="48" t="str">
        <f t="shared" si="16"/>
        <v>2016-04</v>
      </c>
      <c r="AL577" s="36">
        <v>42308.0</v>
      </c>
      <c r="AM577" s="4">
        <v>0.694198090903</v>
      </c>
      <c r="AO577" s="49" t="str">
        <f t="shared" si="18"/>
        <v>2015-10</v>
      </c>
    </row>
    <row r="578">
      <c r="A578" s="36">
        <v>41539.0</v>
      </c>
      <c r="B578" s="34">
        <v>0.753907046429</v>
      </c>
      <c r="D578" t="str">
        <f t="shared" si="6"/>
        <v>2013-09</v>
      </c>
      <c r="G578" s="36">
        <v>41938.0</v>
      </c>
      <c r="H578" s="34">
        <v>0.749647694472</v>
      </c>
      <c r="J578" t="str">
        <f t="shared" si="8"/>
        <v>2014-10</v>
      </c>
      <c r="K578" s="44"/>
      <c r="L578" s="46">
        <v>42298.0</v>
      </c>
      <c r="M578" s="4">
        <v>0.749478126429</v>
      </c>
      <c r="O578" t="str">
        <f t="shared" si="10"/>
        <v>2015-10</v>
      </c>
      <c r="AB578" s="36">
        <v>41547.0</v>
      </c>
      <c r="AC578" s="4">
        <v>0.714466468349</v>
      </c>
      <c r="AE578" t="str">
        <f t="shared" si="14"/>
        <v>2013-09</v>
      </c>
      <c r="AG578" s="36">
        <v>42471.0</v>
      </c>
      <c r="AH578" s="4">
        <v>0.647536376294</v>
      </c>
      <c r="AJ578" s="48" t="str">
        <f t="shared" si="16"/>
        <v>2016-04</v>
      </c>
      <c r="AL578" s="36">
        <v>42314.0</v>
      </c>
      <c r="AM578" s="4">
        <v>0.733532965497</v>
      </c>
      <c r="AO578" s="49" t="str">
        <f t="shared" si="18"/>
        <v>2015-11</v>
      </c>
    </row>
    <row r="579">
      <c r="A579" s="36">
        <v>41540.0</v>
      </c>
      <c r="B579" s="34">
        <v>0.598207946506</v>
      </c>
      <c r="D579" t="str">
        <f t="shared" si="6"/>
        <v>2013-09</v>
      </c>
      <c r="G579" s="36">
        <v>41939.0</v>
      </c>
      <c r="H579" s="34">
        <v>0.732407212889</v>
      </c>
      <c r="J579" t="str">
        <f t="shared" si="8"/>
        <v>2014-10</v>
      </c>
      <c r="K579" s="44"/>
      <c r="L579" s="46">
        <v>42305.0</v>
      </c>
      <c r="M579" s="4">
        <v>0.737332874282</v>
      </c>
      <c r="O579" t="str">
        <f t="shared" si="10"/>
        <v>2015-10</v>
      </c>
      <c r="AB579" s="36">
        <v>41548.0</v>
      </c>
      <c r="AC579" s="4">
        <v>0.728052807503</v>
      </c>
      <c r="AE579" t="str">
        <f t="shared" si="14"/>
        <v>2013-10</v>
      </c>
      <c r="AG579" s="36">
        <v>42472.0</v>
      </c>
      <c r="AH579" s="4">
        <v>0.739723592024</v>
      </c>
      <c r="AJ579" s="48" t="str">
        <f t="shared" si="16"/>
        <v>2016-04</v>
      </c>
      <c r="AL579" s="36">
        <v>42315.0</v>
      </c>
      <c r="AM579" s="4">
        <v>0.89264139323</v>
      </c>
      <c r="AO579" s="49" t="str">
        <f t="shared" si="18"/>
        <v>2015-11</v>
      </c>
    </row>
    <row r="580">
      <c r="A580" s="36">
        <v>41546.0</v>
      </c>
      <c r="B580" s="34">
        <v>0.649631946458</v>
      </c>
      <c r="D580" t="str">
        <f t="shared" si="6"/>
        <v>2013-09</v>
      </c>
      <c r="G580" s="36">
        <v>41945.0</v>
      </c>
      <c r="H580" s="34">
        <v>0.710595929471</v>
      </c>
      <c r="J580" t="str">
        <f t="shared" si="8"/>
        <v>2014-11</v>
      </c>
      <c r="K580" s="44"/>
      <c r="L580" s="46">
        <v>42306.0</v>
      </c>
      <c r="M580" s="4">
        <v>0.0749276884728</v>
      </c>
      <c r="O580" t="str">
        <f t="shared" si="10"/>
        <v>2015-10</v>
      </c>
      <c r="AB580" s="36">
        <v>41549.0</v>
      </c>
      <c r="AC580" s="4">
        <v>0.781273221442</v>
      </c>
      <c r="AE580" t="str">
        <f t="shared" si="14"/>
        <v>2013-10</v>
      </c>
      <c r="AG580" s="36">
        <v>42478.0</v>
      </c>
      <c r="AH580" s="4">
        <v>0.758505650206</v>
      </c>
      <c r="AJ580" s="48" t="str">
        <f t="shared" si="16"/>
        <v>2016-04</v>
      </c>
      <c r="AL580" s="36">
        <v>42321.0</v>
      </c>
      <c r="AM580" s="4">
        <v>0.767306250946</v>
      </c>
      <c r="AO580" s="49" t="str">
        <f t="shared" si="18"/>
        <v>2015-11</v>
      </c>
    </row>
    <row r="581">
      <c r="A581" s="36">
        <v>41547.0</v>
      </c>
      <c r="B581" s="34">
        <v>0.75343961236</v>
      </c>
      <c r="D581" t="str">
        <f t="shared" si="6"/>
        <v>2013-09</v>
      </c>
      <c r="G581" s="36">
        <v>41946.0</v>
      </c>
      <c r="H581" s="34">
        <v>0.666263047289</v>
      </c>
      <c r="J581" t="str">
        <f t="shared" si="8"/>
        <v>2014-11</v>
      </c>
      <c r="K581" s="44"/>
      <c r="L581" s="46">
        <v>42312.0</v>
      </c>
      <c r="M581" s="4">
        <v>0.727197810149</v>
      </c>
      <c r="O581" t="str">
        <f t="shared" si="10"/>
        <v>2015-11</v>
      </c>
      <c r="AB581" s="36">
        <v>41555.0</v>
      </c>
      <c r="AC581" s="4">
        <v>0.665864803648</v>
      </c>
      <c r="AE581" t="str">
        <f t="shared" si="14"/>
        <v>2013-10</v>
      </c>
      <c r="AG581" s="36">
        <v>42479.0</v>
      </c>
      <c r="AH581" s="4">
        <v>0.68919338676</v>
      </c>
      <c r="AJ581" s="48" t="str">
        <f t="shared" si="16"/>
        <v>2016-04</v>
      </c>
      <c r="AL581" s="36">
        <v>42322.0</v>
      </c>
      <c r="AM581" s="4">
        <v>0.900623334608</v>
      </c>
      <c r="AO581" s="49" t="str">
        <f t="shared" si="18"/>
        <v>2015-11</v>
      </c>
    </row>
    <row r="582">
      <c r="A582" s="36">
        <v>41553.0</v>
      </c>
      <c r="B582" s="34">
        <v>0.70210528762</v>
      </c>
      <c r="D582" t="str">
        <f t="shared" si="6"/>
        <v>2013-10</v>
      </c>
      <c r="G582" s="36">
        <v>41952.0</v>
      </c>
      <c r="H582" s="34">
        <v>0.724376787106</v>
      </c>
      <c r="J582" t="str">
        <f t="shared" si="8"/>
        <v>2014-11</v>
      </c>
      <c r="K582" s="44"/>
      <c r="L582" s="46">
        <v>42319.0</v>
      </c>
      <c r="M582" s="4">
        <v>0.713323702029</v>
      </c>
      <c r="O582" t="str">
        <f t="shared" si="10"/>
        <v>2015-11</v>
      </c>
      <c r="AB582" s="36">
        <v>41556.0</v>
      </c>
      <c r="AC582" s="4">
        <v>0.793195140193</v>
      </c>
      <c r="AE582" t="str">
        <f t="shared" si="14"/>
        <v>2013-10</v>
      </c>
      <c r="AG582" s="36">
        <v>42485.0</v>
      </c>
      <c r="AH582" s="4">
        <v>0.708993109779</v>
      </c>
      <c r="AJ582" s="48" t="str">
        <f t="shared" si="16"/>
        <v>2016-04</v>
      </c>
      <c r="AL582" s="36">
        <v>42328.0</v>
      </c>
      <c r="AM582" s="4">
        <v>0.781081057126</v>
      </c>
      <c r="AO582" s="49" t="str">
        <f t="shared" si="18"/>
        <v>2015-11</v>
      </c>
    </row>
    <row r="583">
      <c r="A583" s="36">
        <v>41554.0</v>
      </c>
      <c r="B583" s="34">
        <v>0.530380295368</v>
      </c>
      <c r="D583" t="str">
        <f t="shared" si="6"/>
        <v>2013-10</v>
      </c>
      <c r="G583" s="36">
        <v>41953.0</v>
      </c>
      <c r="H583" s="34">
        <v>0.782757363763</v>
      </c>
      <c r="J583" t="str">
        <f t="shared" si="8"/>
        <v>2014-11</v>
      </c>
      <c r="K583" s="44"/>
      <c r="L583" s="46">
        <v>42326.0</v>
      </c>
      <c r="M583" s="4">
        <v>0.746859590873</v>
      </c>
      <c r="O583" t="str">
        <f t="shared" si="10"/>
        <v>2015-11</v>
      </c>
      <c r="AB583" s="36">
        <v>41562.0</v>
      </c>
      <c r="AC583" s="4">
        <v>0.694295468295</v>
      </c>
      <c r="AE583" t="str">
        <f t="shared" si="14"/>
        <v>2013-10</v>
      </c>
      <c r="AG583" s="36">
        <v>42486.0</v>
      </c>
      <c r="AH583" s="4">
        <v>0.681414340251</v>
      </c>
      <c r="AJ583" s="48" t="str">
        <f t="shared" si="16"/>
        <v>2016-04</v>
      </c>
      <c r="AL583" s="36">
        <v>42329.0</v>
      </c>
      <c r="AM583" s="4">
        <v>0.748096583726</v>
      </c>
      <c r="AO583" s="49" t="str">
        <f t="shared" si="18"/>
        <v>2015-11</v>
      </c>
    </row>
    <row r="584">
      <c r="A584" s="36">
        <v>41560.0</v>
      </c>
      <c r="B584" s="34">
        <v>0.703051399292</v>
      </c>
      <c r="D584" t="str">
        <f t="shared" si="6"/>
        <v>2013-10</v>
      </c>
      <c r="G584" s="36">
        <v>41959.0</v>
      </c>
      <c r="H584" s="34">
        <v>0.799608837626</v>
      </c>
      <c r="J584" t="str">
        <f t="shared" si="8"/>
        <v>2014-11</v>
      </c>
      <c r="K584" s="44"/>
      <c r="L584" s="46">
        <v>42333.0</v>
      </c>
      <c r="M584" s="4">
        <v>0.761898701947</v>
      </c>
      <c r="O584" t="str">
        <f t="shared" si="10"/>
        <v>2015-11</v>
      </c>
      <c r="AB584" s="36">
        <v>41563.0</v>
      </c>
      <c r="AC584" s="4">
        <v>0.723828974318</v>
      </c>
      <c r="AE584" t="str">
        <f t="shared" si="14"/>
        <v>2013-10</v>
      </c>
      <c r="AG584" s="36">
        <v>42492.0</v>
      </c>
      <c r="AH584" s="4">
        <v>0.491013622277</v>
      </c>
      <c r="AJ584" s="48" t="str">
        <f t="shared" si="16"/>
        <v>2016-05</v>
      </c>
      <c r="AL584" s="36">
        <v>42335.0</v>
      </c>
      <c r="AM584" s="4">
        <v>0.693972152411</v>
      </c>
      <c r="AO584" s="49" t="str">
        <f t="shared" si="18"/>
        <v>2015-11</v>
      </c>
    </row>
    <row r="585">
      <c r="A585" s="36">
        <v>41561.0</v>
      </c>
      <c r="B585" s="34">
        <v>0.709023200852</v>
      </c>
      <c r="D585" t="str">
        <f t="shared" si="6"/>
        <v>2013-10</v>
      </c>
      <c r="G585" s="36">
        <v>41960.0</v>
      </c>
      <c r="H585" s="34">
        <v>0.771756687285</v>
      </c>
      <c r="J585" t="str">
        <f t="shared" si="8"/>
        <v>2014-11</v>
      </c>
      <c r="K585" s="44"/>
      <c r="L585" s="46">
        <v>42340.0</v>
      </c>
      <c r="M585" s="4">
        <v>0.679672459166</v>
      </c>
      <c r="O585" t="str">
        <f t="shared" si="10"/>
        <v>2015-12</v>
      </c>
      <c r="AB585" s="36">
        <v>41569.0</v>
      </c>
      <c r="AC585" s="4">
        <v>0.707095321493</v>
      </c>
      <c r="AE585" t="str">
        <f t="shared" si="14"/>
        <v>2013-10</v>
      </c>
      <c r="AG585" s="36">
        <v>42493.0</v>
      </c>
      <c r="AH585" s="4">
        <v>0.664930579763</v>
      </c>
      <c r="AJ585" s="48" t="str">
        <f t="shared" si="16"/>
        <v>2016-05</v>
      </c>
      <c r="AL585" s="36">
        <v>42336.0</v>
      </c>
      <c r="AM585" s="4">
        <v>0.824848501341</v>
      </c>
      <c r="AO585" s="49" t="str">
        <f t="shared" si="18"/>
        <v>2015-11</v>
      </c>
    </row>
    <row r="586">
      <c r="A586" s="36">
        <v>41567.0</v>
      </c>
      <c r="B586" s="34">
        <v>0.681631164623</v>
      </c>
      <c r="D586" t="str">
        <f t="shared" si="6"/>
        <v>2013-10</v>
      </c>
      <c r="G586" s="36">
        <v>41966.0</v>
      </c>
      <c r="H586" s="34">
        <v>0.758595198474</v>
      </c>
      <c r="J586" t="str">
        <f t="shared" si="8"/>
        <v>2014-11</v>
      </c>
      <c r="K586" s="44"/>
      <c r="L586" s="46">
        <v>42347.0</v>
      </c>
      <c r="M586" s="4">
        <v>0.701480185553</v>
      </c>
      <c r="O586" t="str">
        <f t="shared" si="10"/>
        <v>2015-12</v>
      </c>
      <c r="AB586" s="36">
        <v>41570.0</v>
      </c>
      <c r="AC586" s="4">
        <v>0.658477515123</v>
      </c>
      <c r="AE586" t="str">
        <f t="shared" si="14"/>
        <v>2013-10</v>
      </c>
      <c r="AG586" s="36">
        <v>42499.0</v>
      </c>
      <c r="AH586" s="4">
        <v>0.746030716338</v>
      </c>
      <c r="AJ586" s="48" t="str">
        <f t="shared" si="16"/>
        <v>2016-05</v>
      </c>
      <c r="AL586" s="36">
        <v>42342.0</v>
      </c>
      <c r="AM586" s="4">
        <v>0.780292796233</v>
      </c>
      <c r="AO586" s="49" t="str">
        <f t="shared" si="18"/>
        <v>2015-12</v>
      </c>
    </row>
    <row r="587">
      <c r="A587" s="36">
        <v>41568.0</v>
      </c>
      <c r="B587" s="34">
        <v>0.805543287361</v>
      </c>
      <c r="D587" t="str">
        <f t="shared" si="6"/>
        <v>2013-10</v>
      </c>
      <c r="G587" s="36">
        <v>41967.0</v>
      </c>
      <c r="H587" s="34">
        <v>0.827972977635</v>
      </c>
      <c r="J587" t="str">
        <f t="shared" si="8"/>
        <v>2014-11</v>
      </c>
      <c r="K587" s="44"/>
      <c r="L587" s="46">
        <v>42348.0</v>
      </c>
      <c r="M587" s="4">
        <v>0.673218782315</v>
      </c>
      <c r="O587" t="str">
        <f t="shared" si="10"/>
        <v>2015-12</v>
      </c>
      <c r="AB587" s="36">
        <v>41576.0</v>
      </c>
      <c r="AC587" s="4">
        <v>0.730001288533</v>
      </c>
      <c r="AE587" t="str">
        <f t="shared" si="14"/>
        <v>2013-10</v>
      </c>
      <c r="AG587" s="36">
        <v>42500.0</v>
      </c>
      <c r="AH587" s="4">
        <v>0.707491533095</v>
      </c>
      <c r="AJ587" s="48" t="str">
        <f t="shared" si="16"/>
        <v>2016-05</v>
      </c>
      <c r="AL587" s="36">
        <v>42343.0</v>
      </c>
      <c r="AM587" s="4">
        <v>0.950496244241</v>
      </c>
      <c r="AO587" s="49" t="str">
        <f t="shared" si="18"/>
        <v>2015-12</v>
      </c>
    </row>
    <row r="588">
      <c r="A588" s="36">
        <v>41574.0</v>
      </c>
      <c r="B588" s="34">
        <v>0.702808181158</v>
      </c>
      <c r="D588" t="str">
        <f t="shared" si="6"/>
        <v>2013-10</v>
      </c>
      <c r="G588" s="36">
        <v>41973.0</v>
      </c>
      <c r="H588" s="34">
        <v>0.766023208908</v>
      </c>
      <c r="J588" t="str">
        <f t="shared" si="8"/>
        <v>2014-11</v>
      </c>
      <c r="K588" s="44"/>
      <c r="L588" s="46">
        <v>42354.0</v>
      </c>
      <c r="M588" s="4">
        <v>0.685033389468</v>
      </c>
      <c r="O588" t="str">
        <f t="shared" si="10"/>
        <v>2015-12</v>
      </c>
      <c r="AB588" s="36">
        <v>41582.0</v>
      </c>
      <c r="AC588" s="4">
        <v>0.752934915052</v>
      </c>
      <c r="AE588" t="str">
        <f t="shared" si="14"/>
        <v>2013-11</v>
      </c>
      <c r="AG588" s="36">
        <v>42506.0</v>
      </c>
      <c r="AH588" s="4">
        <v>0.732937512019</v>
      </c>
      <c r="AJ588" s="48" t="str">
        <f t="shared" si="16"/>
        <v>2016-05</v>
      </c>
      <c r="AL588" s="36">
        <v>42349.0</v>
      </c>
      <c r="AM588" s="4">
        <v>0.714431134705</v>
      </c>
      <c r="AO588" s="49" t="str">
        <f t="shared" si="18"/>
        <v>2015-12</v>
      </c>
    </row>
    <row r="589">
      <c r="A589" s="36">
        <v>41575.0</v>
      </c>
      <c r="B589" s="34">
        <v>0.679071347159</v>
      </c>
      <c r="D589" t="str">
        <f t="shared" si="6"/>
        <v>2013-10</v>
      </c>
      <c r="G589" s="36">
        <v>41974.0</v>
      </c>
      <c r="H589" s="34">
        <v>0.690137351382</v>
      </c>
      <c r="J589" t="str">
        <f t="shared" si="8"/>
        <v>2014-12</v>
      </c>
      <c r="K589" s="44"/>
      <c r="L589" s="46">
        <v>42361.0</v>
      </c>
      <c r="M589" s="4">
        <v>0.704196358699</v>
      </c>
      <c r="O589" t="str">
        <f t="shared" si="10"/>
        <v>2015-12</v>
      </c>
      <c r="AB589" s="36">
        <v>41583.0</v>
      </c>
      <c r="AC589" s="4">
        <v>0.73165033426</v>
      </c>
      <c r="AE589" t="str">
        <f t="shared" si="14"/>
        <v>2013-11</v>
      </c>
      <c r="AG589" s="36">
        <v>42507.0</v>
      </c>
      <c r="AH589" s="4">
        <v>0.649415136901</v>
      </c>
      <c r="AJ589" s="48" t="str">
        <f t="shared" si="16"/>
        <v>2016-05</v>
      </c>
      <c r="AL589" s="36">
        <v>42350.0</v>
      </c>
      <c r="AM589" s="4">
        <v>0.702151551506</v>
      </c>
      <c r="AO589" s="49" t="str">
        <f t="shared" si="18"/>
        <v>2015-12</v>
      </c>
    </row>
    <row r="590">
      <c r="A590" s="36">
        <v>41581.0</v>
      </c>
      <c r="B590" s="34">
        <v>0.677759876659</v>
      </c>
      <c r="D590" t="str">
        <f t="shared" si="6"/>
        <v>2013-11</v>
      </c>
      <c r="G590" s="36">
        <v>41980.0</v>
      </c>
      <c r="H590" s="34">
        <v>0.728134387856</v>
      </c>
      <c r="J590" t="str">
        <f t="shared" si="8"/>
        <v>2014-12</v>
      </c>
      <c r="K590" s="44"/>
      <c r="L590" s="46">
        <v>42368.0</v>
      </c>
      <c r="M590" s="4">
        <v>0.677275531418</v>
      </c>
      <c r="O590" t="str">
        <f t="shared" si="10"/>
        <v>2015-12</v>
      </c>
      <c r="AB590" s="36">
        <v>41590.0</v>
      </c>
      <c r="AC590" s="4">
        <v>0.725139944341</v>
      </c>
      <c r="AE590" t="str">
        <f t="shared" si="14"/>
        <v>2013-11</v>
      </c>
      <c r="AG590" s="36">
        <v>42513.0</v>
      </c>
      <c r="AH590" s="4">
        <v>0.601662859752</v>
      </c>
      <c r="AJ590" s="48" t="str">
        <f t="shared" si="16"/>
        <v>2016-05</v>
      </c>
      <c r="AL590" s="36">
        <v>42356.0</v>
      </c>
      <c r="AM590" s="4">
        <v>0.733776866608</v>
      </c>
      <c r="AO590" s="49" t="str">
        <f t="shared" si="18"/>
        <v>2015-12</v>
      </c>
    </row>
    <row r="591">
      <c r="A591" s="36">
        <v>41582.0</v>
      </c>
      <c r="B591" s="34">
        <v>0.643341359284</v>
      </c>
      <c r="D591" t="str">
        <f t="shared" si="6"/>
        <v>2013-11</v>
      </c>
      <c r="G591" s="36">
        <v>41981.0</v>
      </c>
      <c r="H591" s="34">
        <v>0.752992424831</v>
      </c>
      <c r="J591" t="str">
        <f t="shared" si="8"/>
        <v>2014-12</v>
      </c>
      <c r="K591" s="44"/>
      <c r="L591" s="46">
        <v>42375.0</v>
      </c>
      <c r="M591" s="4">
        <v>0.764161873844</v>
      </c>
      <c r="O591" t="str">
        <f t="shared" si="10"/>
        <v>2016-01</v>
      </c>
      <c r="AB591" s="36">
        <v>41597.0</v>
      </c>
      <c r="AC591" s="4">
        <v>0.712050055319</v>
      </c>
      <c r="AE591" t="str">
        <f t="shared" si="14"/>
        <v>2013-11</v>
      </c>
      <c r="AG591" s="36">
        <v>42514.0</v>
      </c>
      <c r="AH591" s="4">
        <v>0.67557198546</v>
      </c>
      <c r="AJ591" s="48" t="str">
        <f t="shared" si="16"/>
        <v>2016-05</v>
      </c>
      <c r="AL591" s="36">
        <v>42357.0</v>
      </c>
      <c r="AM591" s="4">
        <v>0.781696661808</v>
      </c>
      <c r="AO591" s="49" t="str">
        <f t="shared" si="18"/>
        <v>2015-12</v>
      </c>
    </row>
    <row r="592">
      <c r="A592" s="36">
        <v>41588.0</v>
      </c>
      <c r="B592" s="34">
        <v>0.6155679797</v>
      </c>
      <c r="D592" t="str">
        <f t="shared" si="6"/>
        <v>2013-11</v>
      </c>
      <c r="G592" s="36">
        <v>41987.0</v>
      </c>
      <c r="H592" s="34">
        <v>0.807371003964</v>
      </c>
      <c r="J592" t="str">
        <f t="shared" si="8"/>
        <v>2014-12</v>
      </c>
      <c r="K592" s="44"/>
      <c r="L592" s="46">
        <v>42376.0</v>
      </c>
      <c r="M592" s="4">
        <v>0.822231389706</v>
      </c>
      <c r="O592" t="str">
        <f t="shared" si="10"/>
        <v>2016-01</v>
      </c>
      <c r="AB592" s="36">
        <v>41598.0</v>
      </c>
      <c r="AC592" s="4">
        <v>0.725255110596</v>
      </c>
      <c r="AE592" t="str">
        <f t="shared" si="14"/>
        <v>2013-11</v>
      </c>
      <c r="AG592" s="36">
        <v>42520.0</v>
      </c>
      <c r="AH592" s="4">
        <v>0.727864291523</v>
      </c>
      <c r="AJ592" s="48" t="str">
        <f t="shared" si="16"/>
        <v>2016-05</v>
      </c>
      <c r="AL592" s="36">
        <v>42363.0</v>
      </c>
      <c r="AM592" s="4">
        <v>0.702143410244</v>
      </c>
      <c r="AO592" s="49" t="str">
        <f t="shared" si="18"/>
        <v>2015-12</v>
      </c>
    </row>
    <row r="593">
      <c r="A593" s="36">
        <v>41589.0</v>
      </c>
      <c r="B593" s="34">
        <v>0.582818647509</v>
      </c>
      <c r="D593" t="str">
        <f t="shared" si="6"/>
        <v>2013-11</v>
      </c>
      <c r="G593" s="36">
        <v>41988.0</v>
      </c>
      <c r="H593" s="34">
        <v>0.720086207708</v>
      </c>
      <c r="J593" t="str">
        <f t="shared" si="8"/>
        <v>2014-12</v>
      </c>
      <c r="K593" s="44"/>
      <c r="L593" s="46">
        <v>42382.0</v>
      </c>
      <c r="M593" s="4">
        <v>0.780821490003</v>
      </c>
      <c r="O593" t="str">
        <f t="shared" si="10"/>
        <v>2016-01</v>
      </c>
      <c r="AB593" s="36">
        <v>41604.0</v>
      </c>
      <c r="AC593" s="4">
        <v>0.747165629189</v>
      </c>
      <c r="AE593" t="str">
        <f t="shared" si="14"/>
        <v>2013-11</v>
      </c>
      <c r="AG593" s="36">
        <v>42521.0</v>
      </c>
      <c r="AH593" s="4">
        <v>0.694548988546</v>
      </c>
      <c r="AJ593" s="48" t="str">
        <f t="shared" si="16"/>
        <v>2016-05</v>
      </c>
      <c r="AL593" s="36">
        <v>42364.0</v>
      </c>
      <c r="AM593" s="4">
        <v>0.598983254131</v>
      </c>
      <c r="AO593" s="49" t="str">
        <f t="shared" si="18"/>
        <v>2015-12</v>
      </c>
    </row>
    <row r="594">
      <c r="A594" s="36">
        <v>41595.0</v>
      </c>
      <c r="B594" s="34">
        <v>0.752218892059</v>
      </c>
      <c r="D594" t="str">
        <f t="shared" si="6"/>
        <v>2013-11</v>
      </c>
      <c r="G594" s="36">
        <v>41994.0</v>
      </c>
      <c r="H594" s="34">
        <v>0.747305913261</v>
      </c>
      <c r="J594" t="str">
        <f t="shared" si="8"/>
        <v>2014-12</v>
      </c>
      <c r="K594" s="44"/>
      <c r="L594" s="46">
        <v>42383.0</v>
      </c>
      <c r="M594" s="4">
        <v>0.793448123661</v>
      </c>
      <c r="O594" t="str">
        <f t="shared" si="10"/>
        <v>2016-01</v>
      </c>
      <c r="AB594" s="36">
        <v>41605.0</v>
      </c>
      <c r="AC594" s="4">
        <v>0.747684360552</v>
      </c>
      <c r="AE594" t="str">
        <f t="shared" si="14"/>
        <v>2013-11</v>
      </c>
      <c r="AG594" s="36">
        <v>42528.0</v>
      </c>
      <c r="AH594" s="4">
        <v>0.735132900379</v>
      </c>
      <c r="AJ594" s="48" t="str">
        <f t="shared" si="16"/>
        <v>2016-06</v>
      </c>
      <c r="AL594" s="36">
        <v>42370.0</v>
      </c>
      <c r="AM594" s="4">
        <v>0.739529493785</v>
      </c>
      <c r="AO594" s="49" t="str">
        <f t="shared" si="18"/>
        <v>2016-01</v>
      </c>
    </row>
    <row r="595">
      <c r="A595" s="36">
        <v>41596.0</v>
      </c>
      <c r="B595" s="34">
        <v>0.634265349694</v>
      </c>
      <c r="D595" t="str">
        <f t="shared" si="6"/>
        <v>2013-11</v>
      </c>
      <c r="G595" s="36">
        <v>41995.0</v>
      </c>
      <c r="H595" s="34">
        <v>0.680133223712</v>
      </c>
      <c r="J595" t="str">
        <f t="shared" si="8"/>
        <v>2014-12</v>
      </c>
      <c r="K595" s="44"/>
      <c r="L595" s="46">
        <v>42389.0</v>
      </c>
      <c r="M595" s="4">
        <v>0.736269944263</v>
      </c>
      <c r="O595" t="str">
        <f t="shared" si="10"/>
        <v>2016-01</v>
      </c>
      <c r="AB595" s="36">
        <v>41611.0</v>
      </c>
      <c r="AC595" s="4">
        <v>0.643178757059</v>
      </c>
      <c r="AE595" t="str">
        <f t="shared" si="14"/>
        <v>2013-12</v>
      </c>
      <c r="AG595" s="36">
        <v>42534.0</v>
      </c>
      <c r="AH595" s="4">
        <v>0.647708509943</v>
      </c>
      <c r="AJ595" s="48" t="str">
        <f t="shared" si="16"/>
        <v>2016-06</v>
      </c>
      <c r="AL595" s="36">
        <v>42371.0</v>
      </c>
      <c r="AM595" s="4">
        <v>0.819651372522</v>
      </c>
      <c r="AO595" s="49" t="str">
        <f t="shared" si="18"/>
        <v>2016-01</v>
      </c>
    </row>
    <row r="596">
      <c r="A596" s="36">
        <v>41602.0</v>
      </c>
      <c r="B596" s="34">
        <v>0.583417474752</v>
      </c>
      <c r="D596" t="str">
        <f t="shared" si="6"/>
        <v>2013-11</v>
      </c>
      <c r="G596" s="36">
        <v>42001.0</v>
      </c>
      <c r="H596" s="34">
        <v>0.747410095619</v>
      </c>
      <c r="J596" t="str">
        <f t="shared" si="8"/>
        <v>2014-12</v>
      </c>
      <c r="K596" s="44"/>
      <c r="L596" s="46">
        <v>42390.0</v>
      </c>
      <c r="M596" s="4">
        <v>0.731128222829</v>
      </c>
      <c r="O596" t="str">
        <f t="shared" si="10"/>
        <v>2016-01</v>
      </c>
      <c r="AB596" s="36">
        <v>41612.0</v>
      </c>
      <c r="AC596" s="4">
        <v>0.746032885914</v>
      </c>
      <c r="AE596" t="str">
        <f t="shared" si="14"/>
        <v>2013-12</v>
      </c>
      <c r="AG596" s="36">
        <v>42535.0</v>
      </c>
      <c r="AH596" s="4">
        <v>0.711006786685</v>
      </c>
      <c r="AJ596" s="48" t="str">
        <f t="shared" si="16"/>
        <v>2016-06</v>
      </c>
      <c r="AL596" s="36">
        <v>42377.0</v>
      </c>
      <c r="AM596" s="4">
        <v>0.781918177848</v>
      </c>
      <c r="AO596" s="49" t="str">
        <f t="shared" si="18"/>
        <v>2016-01</v>
      </c>
    </row>
    <row r="597">
      <c r="A597" s="36">
        <v>41603.0</v>
      </c>
      <c r="B597" s="34">
        <v>0.786051044208</v>
      </c>
      <c r="D597" t="str">
        <f t="shared" si="6"/>
        <v>2013-11</v>
      </c>
      <c r="G597" s="36">
        <v>42002.0</v>
      </c>
      <c r="H597" s="34">
        <v>0.747870842135</v>
      </c>
      <c r="J597" t="str">
        <f t="shared" si="8"/>
        <v>2014-12</v>
      </c>
      <c r="K597" s="44"/>
      <c r="L597" s="46">
        <v>42396.0</v>
      </c>
      <c r="M597" s="4">
        <v>0.732440539578</v>
      </c>
      <c r="O597" t="str">
        <f t="shared" si="10"/>
        <v>2016-01</v>
      </c>
      <c r="AB597" s="36">
        <v>41618.0</v>
      </c>
      <c r="AC597" s="4">
        <v>0.689422454222</v>
      </c>
      <c r="AE597" t="str">
        <f t="shared" si="14"/>
        <v>2013-12</v>
      </c>
      <c r="AG597" s="36">
        <v>42541.0</v>
      </c>
      <c r="AH597" s="4">
        <v>0.657846478839</v>
      </c>
      <c r="AJ597" s="48" t="str">
        <f t="shared" si="16"/>
        <v>2016-06</v>
      </c>
      <c r="AL597" s="36">
        <v>42378.0</v>
      </c>
      <c r="AM597" s="4">
        <v>0.67579288976</v>
      </c>
      <c r="AO597" s="49" t="str">
        <f t="shared" si="18"/>
        <v>2016-01</v>
      </c>
    </row>
    <row r="598">
      <c r="A598" s="36">
        <v>41609.0</v>
      </c>
      <c r="B598" s="34">
        <v>0.64869144198</v>
      </c>
      <c r="D598" t="str">
        <f t="shared" si="6"/>
        <v>2013-12</v>
      </c>
      <c r="G598" s="36">
        <v>42008.0</v>
      </c>
      <c r="H598" s="34">
        <v>0.710992862144</v>
      </c>
      <c r="J598" t="str">
        <f t="shared" si="8"/>
        <v>2015-01</v>
      </c>
      <c r="K598" s="44"/>
      <c r="L598" s="46">
        <v>42397.0</v>
      </c>
      <c r="M598" s="4">
        <v>0.889139719886</v>
      </c>
      <c r="O598" t="str">
        <f t="shared" si="10"/>
        <v>2016-01</v>
      </c>
      <c r="AB598" s="36">
        <v>41619.0</v>
      </c>
      <c r="AC598" s="4">
        <v>0.724379237706</v>
      </c>
      <c r="AE598" t="str">
        <f t="shared" si="14"/>
        <v>2013-12</v>
      </c>
      <c r="AG598" s="36">
        <v>42542.0</v>
      </c>
      <c r="AH598" s="4">
        <v>0.678504573376</v>
      </c>
      <c r="AJ598" s="48" t="str">
        <f t="shared" si="16"/>
        <v>2016-06</v>
      </c>
      <c r="AL598" s="36">
        <v>42384.0</v>
      </c>
      <c r="AM598" s="4">
        <v>0.698603906502</v>
      </c>
      <c r="AO598" s="49" t="str">
        <f t="shared" si="18"/>
        <v>2016-01</v>
      </c>
    </row>
    <row r="599">
      <c r="A599" s="36">
        <v>41610.0</v>
      </c>
      <c r="B599" s="34">
        <v>0.669962168269</v>
      </c>
      <c r="D599" t="str">
        <f t="shared" si="6"/>
        <v>2013-12</v>
      </c>
      <c r="G599" s="36">
        <v>42009.0</v>
      </c>
      <c r="H599" s="34">
        <v>0.696125099791</v>
      </c>
      <c r="J599" t="str">
        <f t="shared" si="8"/>
        <v>2015-01</v>
      </c>
      <c r="K599" s="44"/>
      <c r="L599" s="46">
        <v>42403.0</v>
      </c>
      <c r="M599" s="4">
        <v>0.665028845026</v>
      </c>
      <c r="O599" t="str">
        <f t="shared" si="10"/>
        <v>2016-02</v>
      </c>
      <c r="AB599" s="36">
        <v>41625.0</v>
      </c>
      <c r="AC599" s="4">
        <v>0.703191750155</v>
      </c>
      <c r="AE599" t="str">
        <f t="shared" si="14"/>
        <v>2013-12</v>
      </c>
      <c r="AG599" s="36">
        <v>42548.0</v>
      </c>
      <c r="AH599" s="4">
        <v>0.639529351226</v>
      </c>
      <c r="AJ599" s="48" t="str">
        <f t="shared" si="16"/>
        <v>2016-06</v>
      </c>
      <c r="AL599" s="36">
        <v>42385.0</v>
      </c>
      <c r="AM599" s="4">
        <v>0.732242682285</v>
      </c>
      <c r="AO599" s="49" t="str">
        <f t="shared" si="18"/>
        <v>2016-01</v>
      </c>
    </row>
    <row r="600">
      <c r="A600" s="36">
        <v>41616.0</v>
      </c>
      <c r="B600" s="34">
        <v>0.649931742909</v>
      </c>
      <c r="D600" t="str">
        <f t="shared" si="6"/>
        <v>2013-12</v>
      </c>
      <c r="G600" s="36">
        <v>42015.0</v>
      </c>
      <c r="H600" s="34">
        <v>0.787749425622</v>
      </c>
      <c r="J600" t="str">
        <f t="shared" si="8"/>
        <v>2015-01</v>
      </c>
      <c r="K600" s="44"/>
      <c r="L600" s="46">
        <v>42404.0</v>
      </c>
      <c r="M600" s="4">
        <v>0.735184754059</v>
      </c>
      <c r="O600" t="str">
        <f t="shared" si="10"/>
        <v>2016-02</v>
      </c>
      <c r="AB600" s="36">
        <v>41632.0</v>
      </c>
      <c r="AC600" s="4">
        <v>0.756043145015</v>
      </c>
      <c r="AE600" t="str">
        <f t="shared" si="14"/>
        <v>2013-12</v>
      </c>
      <c r="AG600" s="36">
        <v>42549.0</v>
      </c>
      <c r="AH600" s="4">
        <v>0.68700498774</v>
      </c>
      <c r="AJ600" s="48" t="str">
        <f t="shared" si="16"/>
        <v>2016-06</v>
      </c>
      <c r="AL600" s="36">
        <v>42391.0</v>
      </c>
      <c r="AM600" s="4">
        <v>0.761876509255</v>
      </c>
      <c r="AO600" s="49" t="str">
        <f t="shared" si="18"/>
        <v>2016-01</v>
      </c>
    </row>
    <row r="601">
      <c r="A601" s="36">
        <v>41617.0</v>
      </c>
      <c r="B601" s="34">
        <v>0.716903391141</v>
      </c>
      <c r="D601" t="str">
        <f t="shared" si="6"/>
        <v>2013-12</v>
      </c>
      <c r="G601" s="36">
        <v>42016.0</v>
      </c>
      <c r="H601" s="34">
        <v>0.784667401104</v>
      </c>
      <c r="J601" t="str">
        <f t="shared" si="8"/>
        <v>2015-01</v>
      </c>
      <c r="K601" s="44"/>
      <c r="L601" s="46">
        <v>42410.0</v>
      </c>
      <c r="M601" s="4">
        <v>0.68786860206</v>
      </c>
      <c r="O601" t="str">
        <f t="shared" si="10"/>
        <v>2016-02</v>
      </c>
      <c r="AB601" s="36">
        <v>41639.0</v>
      </c>
      <c r="AC601" s="4">
        <v>0.719389274918</v>
      </c>
      <c r="AE601" t="str">
        <f t="shared" si="14"/>
        <v>2013-12</v>
      </c>
      <c r="AG601" s="36">
        <v>42555.0</v>
      </c>
      <c r="AH601" s="4">
        <v>0.688632970311</v>
      </c>
      <c r="AJ601" s="48" t="str">
        <f t="shared" si="16"/>
        <v>2016-07</v>
      </c>
      <c r="AL601" s="36">
        <v>42398.0</v>
      </c>
      <c r="AM601" s="4">
        <v>0.756136359299</v>
      </c>
      <c r="AO601" s="49" t="str">
        <f t="shared" si="18"/>
        <v>2016-01</v>
      </c>
    </row>
    <row r="602">
      <c r="A602" s="36">
        <v>41623.0</v>
      </c>
      <c r="B602" s="34">
        <v>0.694711101729</v>
      </c>
      <c r="D602" t="str">
        <f t="shared" si="6"/>
        <v>2013-12</v>
      </c>
      <c r="G602" s="36">
        <v>42022.0</v>
      </c>
      <c r="H602" s="34">
        <v>0.622478816007</v>
      </c>
      <c r="J602" t="str">
        <f t="shared" si="8"/>
        <v>2015-01</v>
      </c>
      <c r="K602" s="44"/>
      <c r="L602" s="46">
        <v>42411.0</v>
      </c>
      <c r="M602" s="4">
        <v>0.935751174606</v>
      </c>
      <c r="O602" t="str">
        <f t="shared" si="10"/>
        <v>2016-02</v>
      </c>
      <c r="AB602" s="36">
        <v>41640.0</v>
      </c>
      <c r="AC602" s="4">
        <v>0.612116282145</v>
      </c>
      <c r="AE602" t="str">
        <f t="shared" si="14"/>
        <v>2014-01</v>
      </c>
      <c r="AG602" s="36">
        <v>42556.0</v>
      </c>
      <c r="AH602" s="4">
        <v>0.688591574118</v>
      </c>
      <c r="AJ602" s="48" t="str">
        <f t="shared" si="16"/>
        <v>2016-07</v>
      </c>
      <c r="AL602" s="36">
        <v>42399.0</v>
      </c>
      <c r="AM602" s="4">
        <v>0.774749315124</v>
      </c>
      <c r="AO602" s="49" t="str">
        <f t="shared" si="18"/>
        <v>2016-01</v>
      </c>
    </row>
    <row r="603">
      <c r="A603" s="36">
        <v>41624.0</v>
      </c>
      <c r="B603" s="34">
        <v>0.829012731996</v>
      </c>
      <c r="D603" t="str">
        <f t="shared" si="6"/>
        <v>2013-12</v>
      </c>
      <c r="G603" s="36">
        <v>42023.0</v>
      </c>
      <c r="H603" s="34">
        <v>0.753418899484</v>
      </c>
      <c r="J603" t="str">
        <f t="shared" si="8"/>
        <v>2015-01</v>
      </c>
      <c r="K603" s="44"/>
      <c r="L603" s="46">
        <v>42417.0</v>
      </c>
      <c r="M603" s="4">
        <v>0.71590931917</v>
      </c>
      <c r="O603" t="str">
        <f t="shared" si="10"/>
        <v>2016-02</v>
      </c>
      <c r="AB603" s="36">
        <v>41646.0</v>
      </c>
      <c r="AC603" s="4">
        <v>0.728323665295</v>
      </c>
      <c r="AE603" t="str">
        <f t="shared" si="14"/>
        <v>2014-01</v>
      </c>
      <c r="AG603" s="36">
        <v>42563.0</v>
      </c>
      <c r="AH603" s="4">
        <v>0.669555936999</v>
      </c>
      <c r="AJ603" s="48" t="str">
        <f t="shared" si="16"/>
        <v>2016-07</v>
      </c>
      <c r="AL603" s="36">
        <v>42405.0</v>
      </c>
      <c r="AM603" s="4">
        <v>0.730285232612</v>
      </c>
      <c r="AO603" s="49" t="str">
        <f t="shared" si="18"/>
        <v>2016-02</v>
      </c>
    </row>
    <row r="604">
      <c r="A604" s="36">
        <v>41630.0</v>
      </c>
      <c r="B604" s="34">
        <v>0.688476798122</v>
      </c>
      <c r="D604" t="str">
        <f t="shared" si="6"/>
        <v>2013-12</v>
      </c>
      <c r="G604" s="36">
        <v>42029.0</v>
      </c>
      <c r="H604" s="34">
        <v>0.806261880182</v>
      </c>
      <c r="J604" t="str">
        <f t="shared" si="8"/>
        <v>2015-01</v>
      </c>
      <c r="K604" s="44"/>
      <c r="L604" s="46">
        <v>42418.0</v>
      </c>
      <c r="M604" s="4">
        <v>0.421488650022</v>
      </c>
      <c r="O604" t="str">
        <f t="shared" si="10"/>
        <v>2016-02</v>
      </c>
      <c r="AB604" s="36">
        <v>41647.0</v>
      </c>
      <c r="AC604" s="4">
        <v>0.725923590046</v>
      </c>
      <c r="AE604" t="str">
        <f t="shared" si="14"/>
        <v>2014-01</v>
      </c>
      <c r="AG604" s="36">
        <v>42569.0</v>
      </c>
      <c r="AH604" s="4">
        <v>0.771312693402</v>
      </c>
      <c r="AJ604" s="48" t="str">
        <f t="shared" si="16"/>
        <v>2016-07</v>
      </c>
      <c r="AL604" s="36">
        <v>42406.0</v>
      </c>
      <c r="AM604" s="4">
        <v>0.836001092283</v>
      </c>
      <c r="AO604" s="49" t="str">
        <f t="shared" si="18"/>
        <v>2016-02</v>
      </c>
    </row>
    <row r="605">
      <c r="A605" s="36">
        <v>41631.0</v>
      </c>
      <c r="B605" s="34">
        <v>0.706969777593</v>
      </c>
      <c r="D605" t="str">
        <f t="shared" si="6"/>
        <v>2013-12</v>
      </c>
      <c r="G605" s="36">
        <v>42030.0</v>
      </c>
      <c r="H605" s="34">
        <v>0.714612377765</v>
      </c>
      <c r="J605" t="str">
        <f t="shared" si="8"/>
        <v>2015-01</v>
      </c>
      <c r="K605" s="44"/>
      <c r="L605" s="46">
        <v>42424.0</v>
      </c>
      <c r="M605" s="4">
        <v>0.738352248578</v>
      </c>
      <c r="O605" t="str">
        <f t="shared" si="10"/>
        <v>2016-02</v>
      </c>
      <c r="AB605" s="36">
        <v>41653.0</v>
      </c>
      <c r="AC605" s="4">
        <v>0.663033657181</v>
      </c>
      <c r="AE605" t="str">
        <f t="shared" si="14"/>
        <v>2014-01</v>
      </c>
      <c r="AG605" s="36">
        <v>42570.0</v>
      </c>
      <c r="AH605" s="4">
        <v>0.723174031601</v>
      </c>
      <c r="AJ605" s="48" t="str">
        <f t="shared" si="16"/>
        <v>2016-07</v>
      </c>
      <c r="AL605" s="36">
        <v>42412.0</v>
      </c>
      <c r="AM605" s="4">
        <v>0.714410358143</v>
      </c>
      <c r="AO605" s="49" t="str">
        <f t="shared" si="18"/>
        <v>2016-02</v>
      </c>
    </row>
    <row r="606">
      <c r="A606" s="36">
        <v>41637.0</v>
      </c>
      <c r="B606" s="34">
        <v>0.714489411395</v>
      </c>
      <c r="D606" t="str">
        <f t="shared" si="6"/>
        <v>2013-12</v>
      </c>
      <c r="G606" s="36">
        <v>42036.0</v>
      </c>
      <c r="H606" s="34">
        <v>0.573878696837</v>
      </c>
      <c r="J606" t="str">
        <f t="shared" si="8"/>
        <v>2015-02</v>
      </c>
      <c r="K606" s="44"/>
      <c r="L606" s="46">
        <v>42425.0</v>
      </c>
      <c r="M606" s="4">
        <v>0.43920345675</v>
      </c>
      <c r="O606" t="str">
        <f t="shared" si="10"/>
        <v>2016-02</v>
      </c>
      <c r="AB606" s="36">
        <v>41654.0</v>
      </c>
      <c r="AC606" s="4">
        <v>0.708006169518</v>
      </c>
      <c r="AE606" t="str">
        <f t="shared" si="14"/>
        <v>2014-01</v>
      </c>
      <c r="AG606" s="36">
        <v>42576.0</v>
      </c>
      <c r="AH606" s="4">
        <v>0.704367977026</v>
      </c>
      <c r="AJ606" s="48" t="str">
        <f t="shared" si="16"/>
        <v>2016-07</v>
      </c>
      <c r="AL606" s="36">
        <v>42413.0</v>
      </c>
      <c r="AM606" s="4">
        <v>0.730676754737</v>
      </c>
      <c r="AO606" s="49" t="str">
        <f t="shared" si="18"/>
        <v>2016-02</v>
      </c>
    </row>
    <row r="607">
      <c r="A607" s="36">
        <v>41638.0</v>
      </c>
      <c r="B607" s="34">
        <v>0.605256057082</v>
      </c>
      <c r="D607" t="str">
        <f t="shared" si="6"/>
        <v>2013-12</v>
      </c>
      <c r="G607" s="36">
        <v>42037.0</v>
      </c>
      <c r="H607" s="34">
        <v>0.694916683872</v>
      </c>
      <c r="J607" t="str">
        <f t="shared" si="8"/>
        <v>2015-02</v>
      </c>
      <c r="K607" s="44"/>
      <c r="L607" s="46">
        <v>42431.0</v>
      </c>
      <c r="M607" s="4">
        <v>0.714571308359</v>
      </c>
      <c r="O607" t="str">
        <f t="shared" si="10"/>
        <v>2016-03</v>
      </c>
      <c r="AB607" s="36">
        <v>41660.0</v>
      </c>
      <c r="AC607" s="4">
        <v>0.681734492938</v>
      </c>
      <c r="AE607" t="str">
        <f t="shared" si="14"/>
        <v>2014-01</v>
      </c>
      <c r="AG607" s="36">
        <v>42577.0</v>
      </c>
      <c r="AH607" s="4">
        <v>0.73894695387</v>
      </c>
      <c r="AJ607" s="48" t="str">
        <f t="shared" si="16"/>
        <v>2016-07</v>
      </c>
      <c r="AL607" s="36">
        <v>42419.0</v>
      </c>
      <c r="AM607" s="4">
        <v>0.744816854899</v>
      </c>
      <c r="AO607" s="49" t="str">
        <f t="shared" si="18"/>
        <v>2016-02</v>
      </c>
    </row>
    <row r="608">
      <c r="A608" s="36">
        <v>41644.0</v>
      </c>
      <c r="B608" s="34">
        <v>0.716091725937</v>
      </c>
      <c r="D608" t="str">
        <f t="shared" si="6"/>
        <v>2014-01</v>
      </c>
      <c r="G608" s="36">
        <v>42043.0</v>
      </c>
      <c r="H608" s="34">
        <v>0.586397998773</v>
      </c>
      <c r="J608" t="str">
        <f t="shared" si="8"/>
        <v>2015-02</v>
      </c>
      <c r="K608" s="44"/>
      <c r="L608" s="46">
        <v>42438.0</v>
      </c>
      <c r="M608" s="4">
        <v>0.739401409789</v>
      </c>
      <c r="O608" t="str">
        <f t="shared" si="10"/>
        <v>2016-03</v>
      </c>
      <c r="AB608" s="36">
        <v>41661.0</v>
      </c>
      <c r="AC608" s="4">
        <v>0.468165061361</v>
      </c>
      <c r="AE608" t="str">
        <f t="shared" si="14"/>
        <v>2014-01</v>
      </c>
      <c r="AG608" s="36">
        <v>42583.0</v>
      </c>
      <c r="AH608" s="4">
        <v>0.6570006322</v>
      </c>
      <c r="AJ608" s="48" t="str">
        <f t="shared" si="16"/>
        <v>2016-08</v>
      </c>
      <c r="AL608" s="36">
        <v>42420.0</v>
      </c>
      <c r="AM608" s="4">
        <v>0.81408818846</v>
      </c>
      <c r="AO608" s="49" t="str">
        <f t="shared" si="18"/>
        <v>2016-02</v>
      </c>
    </row>
    <row r="609">
      <c r="A609" s="36">
        <v>41651.0</v>
      </c>
      <c r="B609" s="34">
        <v>0.69847907573</v>
      </c>
      <c r="D609" t="str">
        <f t="shared" si="6"/>
        <v>2014-01</v>
      </c>
      <c r="G609" s="36">
        <v>42044.0</v>
      </c>
      <c r="H609" s="34">
        <v>0.713923041117</v>
      </c>
      <c r="J609" t="str">
        <f t="shared" si="8"/>
        <v>2015-02</v>
      </c>
      <c r="K609" s="44"/>
      <c r="L609" s="46">
        <v>42439.0</v>
      </c>
      <c r="M609" s="4">
        <v>0.672690011788</v>
      </c>
      <c r="O609" t="str">
        <f t="shared" si="10"/>
        <v>2016-03</v>
      </c>
      <c r="AB609" s="36">
        <v>41667.0</v>
      </c>
      <c r="AC609" s="4">
        <v>0.755065357309</v>
      </c>
      <c r="AE609" t="str">
        <f t="shared" si="14"/>
        <v>2014-01</v>
      </c>
      <c r="AG609" s="36">
        <v>42584.0</v>
      </c>
      <c r="AH609" s="4">
        <v>0.773446284849</v>
      </c>
      <c r="AJ609" s="48" t="str">
        <f t="shared" si="16"/>
        <v>2016-08</v>
      </c>
      <c r="AL609" s="36">
        <v>42426.0</v>
      </c>
      <c r="AM609" s="4">
        <v>0.718536487192</v>
      </c>
      <c r="AO609" s="49" t="str">
        <f t="shared" si="18"/>
        <v>2016-02</v>
      </c>
    </row>
    <row r="610">
      <c r="A610" s="36">
        <v>41652.0</v>
      </c>
      <c r="B610" s="34">
        <v>0.683197462304</v>
      </c>
      <c r="D610" t="str">
        <f t="shared" si="6"/>
        <v>2014-01</v>
      </c>
      <c r="G610" s="36">
        <v>42050.0</v>
      </c>
      <c r="H610" s="34">
        <v>0.707426146083</v>
      </c>
      <c r="J610" t="str">
        <f t="shared" si="8"/>
        <v>2015-02</v>
      </c>
      <c r="K610" s="44"/>
      <c r="L610" s="46">
        <v>42445.0</v>
      </c>
      <c r="M610" s="4">
        <v>0.698778625147</v>
      </c>
      <c r="O610" t="str">
        <f t="shared" si="10"/>
        <v>2016-03</v>
      </c>
      <c r="AB610" s="36">
        <v>41668.0</v>
      </c>
      <c r="AC610" s="4">
        <v>0.659398517626</v>
      </c>
      <c r="AE610" t="str">
        <f t="shared" si="14"/>
        <v>2014-01</v>
      </c>
      <c r="AG610" s="36">
        <v>42590.0</v>
      </c>
      <c r="AH610" s="4">
        <v>0.687307339655</v>
      </c>
      <c r="AJ610" s="48" t="str">
        <f t="shared" si="16"/>
        <v>2016-08</v>
      </c>
      <c r="AL610" s="36">
        <v>42427.0</v>
      </c>
      <c r="AM610" s="4">
        <v>0.821979569776</v>
      </c>
      <c r="AO610" s="49" t="str">
        <f t="shared" si="18"/>
        <v>2016-02</v>
      </c>
    </row>
    <row r="611">
      <c r="A611" s="36">
        <v>41658.0</v>
      </c>
      <c r="B611" s="34">
        <v>0.663486534628</v>
      </c>
      <c r="D611" t="str">
        <f t="shared" si="6"/>
        <v>2014-01</v>
      </c>
      <c r="G611" s="36">
        <v>42051.0</v>
      </c>
      <c r="H611" s="34">
        <v>0.647091025125</v>
      </c>
      <c r="J611" t="str">
        <f t="shared" si="8"/>
        <v>2015-02</v>
      </c>
      <c r="K611" s="44"/>
      <c r="L611" s="46">
        <v>42446.0</v>
      </c>
      <c r="M611" s="4">
        <v>0.778410315667</v>
      </c>
      <c r="O611" t="str">
        <f t="shared" si="10"/>
        <v>2016-03</v>
      </c>
      <c r="AB611" s="36">
        <v>41674.0</v>
      </c>
      <c r="AC611" s="4">
        <v>0.665306397601</v>
      </c>
      <c r="AE611" t="str">
        <f t="shared" si="14"/>
        <v>2014-02</v>
      </c>
      <c r="AG611" s="36">
        <v>42591.0</v>
      </c>
      <c r="AH611" s="4">
        <v>0.727820780192</v>
      </c>
      <c r="AJ611" s="48" t="str">
        <f t="shared" si="16"/>
        <v>2016-08</v>
      </c>
      <c r="AL611" s="36">
        <v>42433.0</v>
      </c>
      <c r="AM611" s="4">
        <v>0.727749128534</v>
      </c>
      <c r="AO611" s="49" t="str">
        <f t="shared" si="18"/>
        <v>2016-03</v>
      </c>
    </row>
    <row r="612">
      <c r="A612" s="36">
        <v>41659.0</v>
      </c>
      <c r="B612" s="34">
        <v>0.642434765529</v>
      </c>
      <c r="D612" t="str">
        <f t="shared" si="6"/>
        <v>2014-01</v>
      </c>
      <c r="G612" s="36">
        <v>42057.0</v>
      </c>
      <c r="H612" s="34">
        <v>0.68229758356</v>
      </c>
      <c r="J612" t="str">
        <f t="shared" si="8"/>
        <v>2015-02</v>
      </c>
      <c r="K612" s="44"/>
      <c r="L612" s="46">
        <v>42452.0</v>
      </c>
      <c r="M612" s="4">
        <v>0.758260388493</v>
      </c>
      <c r="O612" t="str">
        <f t="shared" si="10"/>
        <v>2016-03</v>
      </c>
      <c r="AB612" s="36">
        <v>41675.0</v>
      </c>
      <c r="AC612" s="4">
        <v>0.78623061552</v>
      </c>
      <c r="AE612" t="str">
        <f t="shared" si="14"/>
        <v>2014-02</v>
      </c>
      <c r="AG612" s="36">
        <v>42597.0</v>
      </c>
      <c r="AH612" s="4">
        <v>0.728647602486</v>
      </c>
      <c r="AJ612" s="48" t="str">
        <f t="shared" si="16"/>
        <v>2016-08</v>
      </c>
      <c r="AL612" s="36">
        <v>42434.0</v>
      </c>
      <c r="AM612" s="4">
        <v>0.670576604279</v>
      </c>
      <c r="AO612" s="49" t="str">
        <f t="shared" si="18"/>
        <v>2016-03</v>
      </c>
    </row>
    <row r="613">
      <c r="A613" s="36">
        <v>41665.0</v>
      </c>
      <c r="B613" s="34">
        <v>0.689983724112</v>
      </c>
      <c r="D613" t="str">
        <f t="shared" si="6"/>
        <v>2014-01</v>
      </c>
      <c r="G613" s="36">
        <v>42058.0</v>
      </c>
      <c r="H613" s="34">
        <v>0.749637906885</v>
      </c>
      <c r="J613" t="str">
        <f t="shared" si="8"/>
        <v>2015-02</v>
      </c>
      <c r="K613" s="44"/>
      <c r="L613" s="46">
        <v>42459.0</v>
      </c>
      <c r="M613" s="4">
        <v>0.720011028958</v>
      </c>
      <c r="O613" t="str">
        <f t="shared" si="10"/>
        <v>2016-03</v>
      </c>
      <c r="AB613" s="36">
        <v>41681.0</v>
      </c>
      <c r="AC613" s="4">
        <v>0.718846411202</v>
      </c>
      <c r="AE613" t="str">
        <f t="shared" si="14"/>
        <v>2014-02</v>
      </c>
      <c r="AG613" s="36">
        <v>42598.0</v>
      </c>
      <c r="AH613" s="4">
        <v>0.661381872484</v>
      </c>
      <c r="AJ613" s="48" t="str">
        <f t="shared" si="16"/>
        <v>2016-08</v>
      </c>
      <c r="AL613" s="36">
        <v>42440.0</v>
      </c>
      <c r="AM613" s="4">
        <v>0.756860424045</v>
      </c>
      <c r="AO613" s="49" t="str">
        <f t="shared" si="18"/>
        <v>2016-03</v>
      </c>
    </row>
    <row r="614">
      <c r="A614" s="36">
        <v>41666.0</v>
      </c>
      <c r="B614" s="34">
        <v>0.646688763907</v>
      </c>
      <c r="D614" t="str">
        <f t="shared" si="6"/>
        <v>2014-01</v>
      </c>
      <c r="G614" s="36">
        <v>42064.0</v>
      </c>
      <c r="H614" s="34">
        <v>0.740274793732</v>
      </c>
      <c r="J614" t="str">
        <f t="shared" si="8"/>
        <v>2015-03</v>
      </c>
      <c r="K614" s="44"/>
      <c r="L614" s="46">
        <v>42460.0</v>
      </c>
      <c r="M614" s="4">
        <v>0.724254501246</v>
      </c>
      <c r="O614" t="str">
        <f t="shared" si="10"/>
        <v>2016-03</v>
      </c>
      <c r="AB614" s="36">
        <v>41682.0</v>
      </c>
      <c r="AC614" s="4">
        <v>0.730639315743</v>
      </c>
      <c r="AE614" t="str">
        <f t="shared" si="14"/>
        <v>2014-02</v>
      </c>
      <c r="AG614" s="36">
        <v>42604.0</v>
      </c>
      <c r="AH614" s="4">
        <v>0.805385269082</v>
      </c>
      <c r="AJ614" s="48" t="str">
        <f t="shared" si="16"/>
        <v>2016-08</v>
      </c>
      <c r="AL614" s="36">
        <v>42441.0</v>
      </c>
      <c r="AM614" s="4">
        <v>0.716009897234</v>
      </c>
      <c r="AO614" s="49" t="str">
        <f t="shared" si="18"/>
        <v>2016-03</v>
      </c>
    </row>
    <row r="615">
      <c r="A615" s="36">
        <v>41672.0</v>
      </c>
      <c r="B615" s="34">
        <v>0.770490956578</v>
      </c>
      <c r="D615" t="str">
        <f t="shared" si="6"/>
        <v>2014-02</v>
      </c>
      <c r="G615" s="36">
        <v>42065.0</v>
      </c>
      <c r="H615" s="34">
        <v>0.738398680976</v>
      </c>
      <c r="J615" t="str">
        <f t="shared" si="8"/>
        <v>2015-03</v>
      </c>
      <c r="K615" s="44"/>
      <c r="L615" s="46">
        <v>42466.0</v>
      </c>
      <c r="M615" s="4">
        <v>0.694316113453</v>
      </c>
      <c r="O615" t="str">
        <f t="shared" si="10"/>
        <v>2016-04</v>
      </c>
      <c r="AB615" s="36">
        <v>41688.0</v>
      </c>
      <c r="AC615" s="4">
        <v>0.669268358735</v>
      </c>
      <c r="AE615" t="str">
        <f t="shared" si="14"/>
        <v>2014-02</v>
      </c>
      <c r="AG615" s="36">
        <v>42605.0</v>
      </c>
      <c r="AH615" s="4">
        <v>0.83156147914</v>
      </c>
      <c r="AJ615" s="48" t="str">
        <f t="shared" si="16"/>
        <v>2016-08</v>
      </c>
      <c r="AL615" s="36">
        <v>42447.0</v>
      </c>
      <c r="AM615" s="4">
        <v>0.759672917936</v>
      </c>
      <c r="AO615" s="49" t="str">
        <f t="shared" si="18"/>
        <v>2016-03</v>
      </c>
    </row>
    <row r="616">
      <c r="A616" s="36">
        <v>41673.0</v>
      </c>
      <c r="B616" s="34">
        <v>0.764073294004</v>
      </c>
      <c r="D616" t="str">
        <f t="shared" si="6"/>
        <v>2014-02</v>
      </c>
      <c r="G616" s="36">
        <v>42071.0</v>
      </c>
      <c r="H616" s="34">
        <v>0.739601735176</v>
      </c>
      <c r="J616" t="str">
        <f t="shared" si="8"/>
        <v>2015-03</v>
      </c>
      <c r="K616" s="44"/>
      <c r="L616" s="46">
        <v>42467.0</v>
      </c>
      <c r="M616" s="4">
        <v>0.606600766982</v>
      </c>
      <c r="O616" t="str">
        <f t="shared" si="10"/>
        <v>2016-04</v>
      </c>
      <c r="AB616" s="36">
        <v>41689.0</v>
      </c>
      <c r="AC616" s="4">
        <v>0.751902220404</v>
      </c>
      <c r="AE616" t="str">
        <f t="shared" si="14"/>
        <v>2014-02</v>
      </c>
      <c r="AG616" s="36">
        <v>42611.0</v>
      </c>
      <c r="AH616" s="4">
        <v>0.676452193534</v>
      </c>
      <c r="AJ616" s="48" t="str">
        <f t="shared" si="16"/>
        <v>2016-08</v>
      </c>
      <c r="AL616" s="36">
        <v>42454.0</v>
      </c>
      <c r="AM616" s="4">
        <v>0.742666519268</v>
      </c>
      <c r="AO616" s="49" t="str">
        <f t="shared" si="18"/>
        <v>2016-03</v>
      </c>
    </row>
    <row r="617">
      <c r="A617" s="36">
        <v>41679.0</v>
      </c>
      <c r="B617" s="34">
        <v>0.628690218097</v>
      </c>
      <c r="D617" t="str">
        <f t="shared" si="6"/>
        <v>2014-02</v>
      </c>
      <c r="G617" s="36">
        <v>42072.0</v>
      </c>
      <c r="H617" s="34">
        <v>0.770307663468</v>
      </c>
      <c r="J617" t="str">
        <f t="shared" si="8"/>
        <v>2015-03</v>
      </c>
      <c r="K617" s="44"/>
      <c r="L617" s="46">
        <v>42473.0</v>
      </c>
      <c r="M617" s="4">
        <v>0.760161862395</v>
      </c>
      <c r="O617" t="str">
        <f t="shared" si="10"/>
        <v>2016-04</v>
      </c>
      <c r="AB617" s="36">
        <v>41695.0</v>
      </c>
      <c r="AC617" s="4">
        <v>0.715089574497</v>
      </c>
      <c r="AE617" t="str">
        <f t="shared" si="14"/>
        <v>2014-02</v>
      </c>
      <c r="AG617" s="36">
        <v>42612.0</v>
      </c>
      <c r="AH617" s="4">
        <v>0.650758591042</v>
      </c>
      <c r="AJ617" s="48" t="str">
        <f t="shared" si="16"/>
        <v>2016-08</v>
      </c>
      <c r="AL617" s="36">
        <v>42461.0</v>
      </c>
      <c r="AM617" s="4">
        <v>0.782705969652</v>
      </c>
      <c r="AO617" s="49" t="str">
        <f t="shared" si="18"/>
        <v>2016-04</v>
      </c>
    </row>
    <row r="618">
      <c r="A618" s="36">
        <v>41680.0</v>
      </c>
      <c r="B618" s="34">
        <v>0.630239729182</v>
      </c>
      <c r="D618" t="str">
        <f t="shared" si="6"/>
        <v>2014-02</v>
      </c>
      <c r="G618" s="36">
        <v>42079.0</v>
      </c>
      <c r="H618" s="34">
        <v>0.791876464115</v>
      </c>
      <c r="J618" t="str">
        <f t="shared" si="8"/>
        <v>2015-03</v>
      </c>
      <c r="K618" s="44"/>
      <c r="L618" s="46">
        <v>42474.0</v>
      </c>
      <c r="M618" s="4">
        <v>0.760975472987</v>
      </c>
      <c r="O618" t="str">
        <f t="shared" si="10"/>
        <v>2016-04</v>
      </c>
      <c r="AB618" s="36">
        <v>41696.0</v>
      </c>
      <c r="AC618" s="4">
        <v>0.640367434655</v>
      </c>
      <c r="AE618" t="str">
        <f t="shared" si="14"/>
        <v>2014-02</v>
      </c>
      <c r="AG618" s="36">
        <v>42618.0</v>
      </c>
      <c r="AH618" s="4">
        <v>0.720406654189</v>
      </c>
      <c r="AJ618" s="48" t="str">
        <f t="shared" si="16"/>
        <v>2016-09</v>
      </c>
      <c r="AL618" s="36">
        <v>42468.0</v>
      </c>
      <c r="AM618" s="4">
        <v>0.770667532141</v>
      </c>
      <c r="AO618" s="49" t="str">
        <f t="shared" si="18"/>
        <v>2016-04</v>
      </c>
    </row>
    <row r="619">
      <c r="A619" s="36">
        <v>41686.0</v>
      </c>
      <c r="B619" s="34">
        <v>0.640023575879</v>
      </c>
      <c r="D619" t="str">
        <f t="shared" si="6"/>
        <v>2014-02</v>
      </c>
      <c r="G619" s="36">
        <v>42085.0</v>
      </c>
      <c r="H619" s="34">
        <v>0.721661512097</v>
      </c>
      <c r="J619" t="str">
        <f t="shared" si="8"/>
        <v>2015-03</v>
      </c>
      <c r="K619" s="44"/>
      <c r="L619" s="46">
        <v>42480.0</v>
      </c>
      <c r="M619" s="4">
        <v>0.769912682287</v>
      </c>
      <c r="O619" t="str">
        <f t="shared" si="10"/>
        <v>2016-04</v>
      </c>
      <c r="AB619" s="36">
        <v>41702.0</v>
      </c>
      <c r="AC619" s="4">
        <v>0.743173132855</v>
      </c>
      <c r="AE619" t="str">
        <f t="shared" si="14"/>
        <v>2014-03</v>
      </c>
      <c r="AG619" s="36">
        <v>42619.0</v>
      </c>
      <c r="AH619" s="4">
        <v>0.642805123675</v>
      </c>
      <c r="AJ619" s="48" t="str">
        <f t="shared" si="16"/>
        <v>2016-09</v>
      </c>
      <c r="AL619" s="36">
        <v>42469.0</v>
      </c>
      <c r="AM619" s="4">
        <v>0.736202383513</v>
      </c>
      <c r="AO619" s="49" t="str">
        <f t="shared" si="18"/>
        <v>2016-04</v>
      </c>
    </row>
    <row r="620">
      <c r="A620" s="36">
        <v>41687.0</v>
      </c>
      <c r="B620" s="34">
        <v>0.72765224562</v>
      </c>
      <c r="D620" t="str">
        <f t="shared" si="6"/>
        <v>2014-02</v>
      </c>
      <c r="G620" s="36">
        <v>42086.0</v>
      </c>
      <c r="H620" s="34">
        <v>0.788115888263</v>
      </c>
      <c r="J620" t="str">
        <f t="shared" si="8"/>
        <v>2015-03</v>
      </c>
      <c r="K620" s="44"/>
      <c r="L620" s="46">
        <v>42481.0</v>
      </c>
      <c r="M620" s="4">
        <v>0.75131748242</v>
      </c>
      <c r="O620" t="str">
        <f t="shared" si="10"/>
        <v>2016-04</v>
      </c>
      <c r="AB620" s="36">
        <v>41703.0</v>
      </c>
      <c r="AC620" s="4">
        <v>0.76960207605</v>
      </c>
      <c r="AE620" t="str">
        <f t="shared" si="14"/>
        <v>2014-03</v>
      </c>
      <c r="AG620" s="36">
        <v>42625.0</v>
      </c>
      <c r="AH620" s="4">
        <v>0.722371093522</v>
      </c>
      <c r="AJ620" s="48" t="str">
        <f t="shared" si="16"/>
        <v>2016-09</v>
      </c>
      <c r="AL620" s="36">
        <v>42475.0</v>
      </c>
      <c r="AM620" s="4">
        <v>0.74292693948</v>
      </c>
      <c r="AO620" s="49" t="str">
        <f t="shared" si="18"/>
        <v>2016-04</v>
      </c>
    </row>
    <row r="621">
      <c r="A621" s="36">
        <v>41693.0</v>
      </c>
      <c r="B621" s="34">
        <v>0.666867917176</v>
      </c>
      <c r="D621" t="str">
        <f t="shared" si="6"/>
        <v>2014-02</v>
      </c>
      <c r="G621" s="36">
        <v>42092.0</v>
      </c>
      <c r="H621" s="34">
        <v>0.744205633524</v>
      </c>
      <c r="J621" t="str">
        <f t="shared" si="8"/>
        <v>2015-03</v>
      </c>
      <c r="K621" s="44"/>
      <c r="L621" s="46">
        <v>42487.0</v>
      </c>
      <c r="M621" s="4">
        <v>0.736177249112</v>
      </c>
      <c r="O621" t="str">
        <f t="shared" si="10"/>
        <v>2016-04</v>
      </c>
      <c r="AB621" s="36">
        <v>41709.0</v>
      </c>
      <c r="AC621" s="4">
        <v>0.619322053749</v>
      </c>
      <c r="AE621" t="str">
        <f t="shared" si="14"/>
        <v>2014-03</v>
      </c>
      <c r="AG621" s="36">
        <v>42626.0</v>
      </c>
      <c r="AH621" s="4">
        <v>0.762919501734</v>
      </c>
      <c r="AJ621" s="48" t="str">
        <f t="shared" si="16"/>
        <v>2016-09</v>
      </c>
      <c r="AL621" s="36">
        <v>42476.0</v>
      </c>
      <c r="AM621" s="4">
        <v>0.591498864806</v>
      </c>
      <c r="AO621" s="49" t="str">
        <f t="shared" si="18"/>
        <v>2016-04</v>
      </c>
    </row>
    <row r="622">
      <c r="A622" s="36">
        <v>41694.0</v>
      </c>
      <c r="B622" s="34">
        <v>0.715040591305</v>
      </c>
      <c r="D622" t="str">
        <f t="shared" si="6"/>
        <v>2014-02</v>
      </c>
      <c r="G622" s="36">
        <v>42093.0</v>
      </c>
      <c r="H622" s="34">
        <v>0.767467699033</v>
      </c>
      <c r="J622" t="str">
        <f t="shared" si="8"/>
        <v>2015-03</v>
      </c>
      <c r="K622" s="44"/>
      <c r="L622" s="46">
        <v>42488.0</v>
      </c>
      <c r="M622" s="4">
        <v>0.831630685547</v>
      </c>
      <c r="O622" t="str">
        <f t="shared" si="10"/>
        <v>2016-04</v>
      </c>
      <c r="AB622" s="36">
        <v>41716.0</v>
      </c>
      <c r="AC622" s="4">
        <v>0.690211896217</v>
      </c>
      <c r="AE622" t="str">
        <f t="shared" si="14"/>
        <v>2014-03</v>
      </c>
      <c r="AG622" s="36">
        <v>42632.0</v>
      </c>
      <c r="AH622" s="4">
        <v>0.765285361324</v>
      </c>
      <c r="AJ622" s="48" t="str">
        <f t="shared" si="16"/>
        <v>2016-09</v>
      </c>
      <c r="AL622" s="36">
        <v>42482.0</v>
      </c>
      <c r="AM622" s="4">
        <v>0.759833829392</v>
      </c>
      <c r="AO622" s="49" t="str">
        <f t="shared" si="18"/>
        <v>2016-04</v>
      </c>
    </row>
    <row r="623">
      <c r="A623" s="36">
        <v>41700.0</v>
      </c>
      <c r="B623" s="34">
        <v>0.700847943908</v>
      </c>
      <c r="D623" t="str">
        <f t="shared" si="6"/>
        <v>2014-03</v>
      </c>
      <c r="G623" s="36">
        <v>42100.0</v>
      </c>
      <c r="H623" s="34">
        <v>0.780440111816</v>
      </c>
      <c r="J623" t="str">
        <f t="shared" si="8"/>
        <v>2015-04</v>
      </c>
      <c r="K623" s="44"/>
      <c r="L623" s="46">
        <v>42494.0</v>
      </c>
      <c r="M623" s="4">
        <v>0.773248417574</v>
      </c>
      <c r="O623" t="str">
        <f t="shared" si="10"/>
        <v>2016-05</v>
      </c>
      <c r="AB623" s="36">
        <v>41717.0</v>
      </c>
      <c r="AC623" s="4">
        <v>0.838807340413</v>
      </c>
      <c r="AE623" t="str">
        <f t="shared" si="14"/>
        <v>2014-03</v>
      </c>
      <c r="AG623" s="36">
        <v>42633.0</v>
      </c>
      <c r="AH623" s="4">
        <v>0.731671101588</v>
      </c>
      <c r="AJ623" s="48" t="str">
        <f t="shared" si="16"/>
        <v>2016-09</v>
      </c>
      <c r="AL623" s="36">
        <v>42489.0</v>
      </c>
      <c r="AM623" s="4">
        <v>0.700358514313</v>
      </c>
      <c r="AO623" s="49" t="str">
        <f t="shared" si="18"/>
        <v>2016-04</v>
      </c>
    </row>
    <row r="624">
      <c r="A624" s="36">
        <v>41701.0</v>
      </c>
      <c r="B624" s="34">
        <v>0.546698728692</v>
      </c>
      <c r="D624" t="str">
        <f t="shared" si="6"/>
        <v>2014-03</v>
      </c>
      <c r="G624" s="36">
        <v>42107.0</v>
      </c>
      <c r="H624" s="34">
        <v>0.776684450205</v>
      </c>
      <c r="J624" t="str">
        <f t="shared" si="8"/>
        <v>2015-04</v>
      </c>
      <c r="K624" s="44"/>
      <c r="L624" s="46">
        <v>42495.0</v>
      </c>
      <c r="M624" s="4">
        <v>0.808221134095</v>
      </c>
      <c r="O624" t="str">
        <f t="shared" si="10"/>
        <v>2016-05</v>
      </c>
      <c r="AB624" s="36">
        <v>41723.0</v>
      </c>
      <c r="AC624" s="4">
        <v>0.736972671105</v>
      </c>
      <c r="AE624" t="str">
        <f t="shared" si="14"/>
        <v>2014-03</v>
      </c>
      <c r="AG624" s="36">
        <v>42639.0</v>
      </c>
      <c r="AH624" s="4">
        <v>0.765161035789</v>
      </c>
      <c r="AJ624" s="48" t="str">
        <f t="shared" si="16"/>
        <v>2016-09</v>
      </c>
      <c r="AL624" s="36">
        <v>42490.0</v>
      </c>
      <c r="AM624" s="4">
        <v>0.644762512997</v>
      </c>
      <c r="AO624" s="49" t="str">
        <f t="shared" si="18"/>
        <v>2016-04</v>
      </c>
    </row>
    <row r="625">
      <c r="A625" s="36">
        <v>41707.0</v>
      </c>
      <c r="B625" s="34">
        <v>0.661295743743</v>
      </c>
      <c r="D625" t="str">
        <f t="shared" si="6"/>
        <v>2014-03</v>
      </c>
      <c r="G625" s="36">
        <v>42113.0</v>
      </c>
      <c r="H625" s="34">
        <v>0.732994925846</v>
      </c>
      <c r="J625" t="str">
        <f t="shared" si="8"/>
        <v>2015-04</v>
      </c>
      <c r="K625" s="44"/>
      <c r="L625" s="46">
        <v>42501.0</v>
      </c>
      <c r="M625" s="4">
        <v>0.739638671781</v>
      </c>
      <c r="O625" t="str">
        <f t="shared" si="10"/>
        <v>2016-05</v>
      </c>
      <c r="AB625" s="36">
        <v>41724.0</v>
      </c>
      <c r="AC625" s="4">
        <v>0.741215755905</v>
      </c>
      <c r="AE625" t="str">
        <f t="shared" si="14"/>
        <v>2014-03</v>
      </c>
      <c r="AG625" s="36">
        <v>42640.0</v>
      </c>
      <c r="AH625" s="4">
        <v>0.74688527353</v>
      </c>
      <c r="AJ625" s="48" t="str">
        <f t="shared" si="16"/>
        <v>2016-09</v>
      </c>
      <c r="AL625" s="36">
        <v>42496.0</v>
      </c>
      <c r="AM625" s="4">
        <v>0.734741239917</v>
      </c>
      <c r="AO625" s="49" t="str">
        <f t="shared" si="18"/>
        <v>2016-05</v>
      </c>
    </row>
    <row r="626">
      <c r="A626" s="36">
        <v>41708.0</v>
      </c>
      <c r="B626" s="34">
        <v>0.456386213474</v>
      </c>
      <c r="D626" t="str">
        <f t="shared" si="6"/>
        <v>2014-03</v>
      </c>
      <c r="G626" s="36">
        <v>42114.0</v>
      </c>
      <c r="H626" s="34">
        <v>0.722916471753</v>
      </c>
      <c r="J626" t="str">
        <f t="shared" si="8"/>
        <v>2015-04</v>
      </c>
      <c r="K626" s="44"/>
      <c r="L626" s="46">
        <v>42502.0</v>
      </c>
      <c r="M626" s="4">
        <v>0.714685819242</v>
      </c>
      <c r="O626" t="str">
        <f t="shared" si="10"/>
        <v>2016-05</v>
      </c>
      <c r="AB626" s="36">
        <v>41730.0</v>
      </c>
      <c r="AC626" s="4">
        <v>0.710232977919</v>
      </c>
      <c r="AE626" t="str">
        <f t="shared" si="14"/>
        <v>2014-04</v>
      </c>
      <c r="AG626" s="36">
        <v>42646.0</v>
      </c>
      <c r="AH626" s="4">
        <v>0.614842886629</v>
      </c>
      <c r="AJ626" s="48" t="str">
        <f t="shared" si="16"/>
        <v>2016-10</v>
      </c>
      <c r="AL626" s="36">
        <v>42497.0</v>
      </c>
      <c r="AM626" s="4">
        <v>0.828994998255</v>
      </c>
      <c r="AO626" s="49" t="str">
        <f t="shared" si="18"/>
        <v>2016-05</v>
      </c>
    </row>
    <row r="627">
      <c r="A627" s="36">
        <v>41714.0</v>
      </c>
      <c r="B627" s="34">
        <v>0.622139505801</v>
      </c>
      <c r="D627" t="str">
        <f t="shared" si="6"/>
        <v>2014-03</v>
      </c>
      <c r="G627" s="36">
        <v>42120.0</v>
      </c>
      <c r="H627" s="34">
        <v>0.795404415596</v>
      </c>
      <c r="J627" t="str">
        <f t="shared" si="8"/>
        <v>2015-04</v>
      </c>
      <c r="K627" s="44"/>
      <c r="L627" s="46">
        <v>42508.0</v>
      </c>
      <c r="M627" s="4">
        <v>0.767792558348</v>
      </c>
      <c r="O627" t="str">
        <f t="shared" si="10"/>
        <v>2016-05</v>
      </c>
      <c r="AB627" s="36">
        <v>41731.0</v>
      </c>
      <c r="AC627" s="4">
        <v>0.63748967149</v>
      </c>
      <c r="AE627" t="str">
        <f t="shared" si="14"/>
        <v>2014-04</v>
      </c>
      <c r="AG627" s="36">
        <v>42647.0</v>
      </c>
      <c r="AH627" s="4">
        <v>0.729410039247</v>
      </c>
      <c r="AJ627" s="48" t="str">
        <f t="shared" si="16"/>
        <v>2016-10</v>
      </c>
      <c r="AL627" s="36">
        <v>42503.0</v>
      </c>
      <c r="AM627" s="4">
        <v>0.678961263383</v>
      </c>
      <c r="AO627" s="49" t="str">
        <f t="shared" si="18"/>
        <v>2016-05</v>
      </c>
    </row>
    <row r="628">
      <c r="A628" s="36">
        <v>41715.0</v>
      </c>
      <c r="B628" s="34">
        <v>0.598311800316</v>
      </c>
      <c r="D628" t="str">
        <f t="shared" si="6"/>
        <v>2014-03</v>
      </c>
      <c r="G628" s="36">
        <v>42121.0</v>
      </c>
      <c r="H628" s="34">
        <v>0.772176427056</v>
      </c>
      <c r="J628" t="str">
        <f t="shared" si="8"/>
        <v>2015-04</v>
      </c>
      <c r="K628" s="44"/>
      <c r="L628" s="46">
        <v>42509.0</v>
      </c>
      <c r="M628" s="4">
        <v>0.697444644744</v>
      </c>
      <c r="O628" t="str">
        <f t="shared" si="10"/>
        <v>2016-05</v>
      </c>
      <c r="AB628" s="36">
        <v>41737.0</v>
      </c>
      <c r="AC628" s="4">
        <v>0.726794801942</v>
      </c>
      <c r="AE628" t="str">
        <f t="shared" si="14"/>
        <v>2014-04</v>
      </c>
      <c r="AG628" s="36">
        <v>42653.0</v>
      </c>
      <c r="AH628" s="4">
        <v>0.706781803229</v>
      </c>
      <c r="AJ628" s="48" t="str">
        <f t="shared" si="16"/>
        <v>2016-10</v>
      </c>
      <c r="AL628" s="36">
        <v>42504.0</v>
      </c>
      <c r="AM628" s="4">
        <v>0.72765043984</v>
      </c>
      <c r="AO628" s="49" t="str">
        <f t="shared" si="18"/>
        <v>2016-05</v>
      </c>
    </row>
    <row r="629">
      <c r="A629" s="36">
        <v>41721.0</v>
      </c>
      <c r="B629" s="34">
        <v>0.756179946351</v>
      </c>
      <c r="D629" t="str">
        <f t="shared" si="6"/>
        <v>2014-03</v>
      </c>
      <c r="G629" s="36">
        <v>42127.0</v>
      </c>
      <c r="H629" s="34">
        <v>0.715747798352</v>
      </c>
      <c r="J629" t="str">
        <f t="shared" si="8"/>
        <v>2015-05</v>
      </c>
      <c r="K629" s="44"/>
      <c r="L629" s="46">
        <v>42515.0</v>
      </c>
      <c r="M629" s="4">
        <v>0.760681223206</v>
      </c>
      <c r="O629" t="str">
        <f t="shared" si="10"/>
        <v>2016-05</v>
      </c>
      <c r="AB629" s="36">
        <v>41738.0</v>
      </c>
      <c r="AC629" s="4">
        <v>0.74046358051</v>
      </c>
      <c r="AE629" t="str">
        <f t="shared" si="14"/>
        <v>2014-04</v>
      </c>
      <c r="AG629" s="36">
        <v>42654.0</v>
      </c>
      <c r="AH629" s="4">
        <v>0.724782699676</v>
      </c>
      <c r="AJ629" s="48" t="str">
        <f t="shared" si="16"/>
        <v>2016-10</v>
      </c>
      <c r="AL629" s="36">
        <v>42510.0</v>
      </c>
      <c r="AM629" s="4">
        <v>0.75488786371</v>
      </c>
      <c r="AO629" s="49" t="str">
        <f t="shared" si="18"/>
        <v>2016-05</v>
      </c>
    </row>
    <row r="630">
      <c r="A630" s="36">
        <v>41722.0</v>
      </c>
      <c r="B630" s="34">
        <v>0.674486976307</v>
      </c>
      <c r="D630" t="str">
        <f t="shared" si="6"/>
        <v>2014-03</v>
      </c>
      <c r="G630" s="36">
        <v>42128.0</v>
      </c>
      <c r="H630" s="34">
        <v>0.755037226759</v>
      </c>
      <c r="J630" t="str">
        <f t="shared" si="8"/>
        <v>2015-05</v>
      </c>
      <c r="K630" s="44"/>
      <c r="L630" s="46">
        <v>42516.0</v>
      </c>
      <c r="M630" s="4">
        <v>0.678671859542</v>
      </c>
      <c r="O630" t="str">
        <f t="shared" si="10"/>
        <v>2016-05</v>
      </c>
      <c r="AB630" s="36">
        <v>41744.0</v>
      </c>
      <c r="AC630" s="4">
        <v>0.642113286724</v>
      </c>
      <c r="AE630" t="str">
        <f t="shared" si="14"/>
        <v>2014-04</v>
      </c>
      <c r="AG630" s="36">
        <v>42660.0</v>
      </c>
      <c r="AH630" s="4">
        <v>0.586981061483</v>
      </c>
      <c r="AJ630" s="48" t="str">
        <f t="shared" si="16"/>
        <v>2016-10</v>
      </c>
      <c r="AL630" s="36">
        <v>42511.0</v>
      </c>
      <c r="AM630" s="4">
        <v>0.555669785756</v>
      </c>
      <c r="AO630" s="49" t="str">
        <f t="shared" si="18"/>
        <v>2016-05</v>
      </c>
    </row>
    <row r="631">
      <c r="A631" s="36">
        <v>41728.0</v>
      </c>
      <c r="B631" s="34">
        <v>0.621841558344</v>
      </c>
      <c r="D631" t="str">
        <f t="shared" si="6"/>
        <v>2014-03</v>
      </c>
      <c r="G631" s="36">
        <v>42135.0</v>
      </c>
      <c r="H631" s="34">
        <v>0.707201423564</v>
      </c>
      <c r="J631" t="str">
        <f t="shared" si="8"/>
        <v>2015-05</v>
      </c>
      <c r="K631" s="44"/>
      <c r="L631" s="46">
        <v>42522.0</v>
      </c>
      <c r="M631" s="4">
        <v>0.625979529317</v>
      </c>
      <c r="O631" t="str">
        <f t="shared" si="10"/>
        <v>2016-06</v>
      </c>
      <c r="AB631" s="36">
        <v>41745.0</v>
      </c>
      <c r="AC631" s="4">
        <v>0.746959064558</v>
      </c>
      <c r="AE631" t="str">
        <f t="shared" si="14"/>
        <v>2014-04</v>
      </c>
      <c r="AG631" s="36">
        <v>42661.0</v>
      </c>
      <c r="AH631" s="4">
        <v>0.781688480293</v>
      </c>
      <c r="AJ631" s="48" t="str">
        <f t="shared" si="16"/>
        <v>2016-10</v>
      </c>
      <c r="AL631" s="36">
        <v>42517.0</v>
      </c>
      <c r="AM631" s="4">
        <v>0.739504268543</v>
      </c>
      <c r="AO631" s="49" t="str">
        <f t="shared" si="18"/>
        <v>2016-05</v>
      </c>
    </row>
    <row r="632">
      <c r="A632" s="36">
        <v>41729.0</v>
      </c>
      <c r="B632" s="34">
        <v>0.627635586299</v>
      </c>
      <c r="D632" t="str">
        <f t="shared" si="6"/>
        <v>2014-03</v>
      </c>
      <c r="G632" s="36">
        <v>42142.0</v>
      </c>
      <c r="H632" s="34">
        <v>0.730273690583</v>
      </c>
      <c r="J632" t="str">
        <f t="shared" si="8"/>
        <v>2015-05</v>
      </c>
      <c r="K632" s="44"/>
      <c r="L632" s="46">
        <v>42523.0</v>
      </c>
      <c r="M632" s="4">
        <v>0.600608356705</v>
      </c>
      <c r="O632" t="str">
        <f t="shared" si="10"/>
        <v>2016-06</v>
      </c>
      <c r="AB632" s="36">
        <v>41751.0</v>
      </c>
      <c r="AC632" s="4">
        <v>0.662355839249</v>
      </c>
      <c r="AE632" t="str">
        <f t="shared" si="14"/>
        <v>2014-04</v>
      </c>
      <c r="AG632" s="36">
        <v>42667.0</v>
      </c>
      <c r="AH632" s="4">
        <v>0.780550132024</v>
      </c>
      <c r="AJ632" s="48" t="str">
        <f t="shared" si="16"/>
        <v>2016-10</v>
      </c>
      <c r="AL632" s="36">
        <v>42518.0</v>
      </c>
      <c r="AM632" s="4">
        <v>0.682237594567</v>
      </c>
      <c r="AO632" s="49" t="str">
        <f t="shared" si="18"/>
        <v>2016-05</v>
      </c>
    </row>
    <row r="633">
      <c r="A633" s="36">
        <v>41735.0</v>
      </c>
      <c r="B633" s="34">
        <v>0.636374734464</v>
      </c>
      <c r="D633" t="str">
        <f t="shared" si="6"/>
        <v>2014-04</v>
      </c>
      <c r="G633" s="36">
        <v>42148.0</v>
      </c>
      <c r="H633" s="34">
        <v>0.419702444203</v>
      </c>
      <c r="J633" t="str">
        <f t="shared" si="8"/>
        <v>2015-05</v>
      </c>
      <c r="K633" s="44"/>
      <c r="L633" s="46">
        <v>42529.0</v>
      </c>
      <c r="M633" s="4">
        <v>0.732197349208</v>
      </c>
      <c r="O633" t="str">
        <f t="shared" si="10"/>
        <v>2016-06</v>
      </c>
      <c r="AB633" s="36">
        <v>41752.0</v>
      </c>
      <c r="AC633" s="4">
        <v>0.652316578198</v>
      </c>
      <c r="AE633" t="str">
        <f t="shared" si="14"/>
        <v>2014-04</v>
      </c>
      <c r="AG633" s="36">
        <v>42668.0</v>
      </c>
      <c r="AH633" s="4">
        <v>0.706773512576</v>
      </c>
      <c r="AJ633" s="48" t="str">
        <f t="shared" si="16"/>
        <v>2016-10</v>
      </c>
      <c r="AL633" s="36">
        <v>42524.0</v>
      </c>
      <c r="AM633" s="4">
        <v>0.705583386801</v>
      </c>
      <c r="AO633" s="49" t="str">
        <f t="shared" si="18"/>
        <v>2016-06</v>
      </c>
    </row>
    <row r="634">
      <c r="A634" s="36">
        <v>41736.0</v>
      </c>
      <c r="B634" s="34">
        <v>0.636819277976</v>
      </c>
      <c r="D634" t="str">
        <f t="shared" si="6"/>
        <v>2014-04</v>
      </c>
      <c r="G634" s="36">
        <v>42149.0</v>
      </c>
      <c r="H634" s="34">
        <v>0.758668011119</v>
      </c>
      <c r="J634" t="str">
        <f t="shared" si="8"/>
        <v>2015-05</v>
      </c>
      <c r="K634" s="44"/>
      <c r="L634" s="46">
        <v>42530.0</v>
      </c>
      <c r="M634" s="4">
        <v>0.766037135488</v>
      </c>
      <c r="O634" t="str">
        <f t="shared" si="10"/>
        <v>2016-06</v>
      </c>
      <c r="AB634" s="36">
        <v>41758.0</v>
      </c>
      <c r="AC634" s="4">
        <v>0.698084609672</v>
      </c>
      <c r="AE634" t="str">
        <f t="shared" si="14"/>
        <v>2014-04</v>
      </c>
      <c r="AG634" s="36">
        <v>42675.0</v>
      </c>
      <c r="AH634" s="4">
        <v>0.722324066606</v>
      </c>
      <c r="AJ634" s="48" t="str">
        <f t="shared" si="16"/>
        <v>2016-11</v>
      </c>
      <c r="AL634" s="36">
        <v>42531.0</v>
      </c>
      <c r="AM634" s="4">
        <v>0.684023755658</v>
      </c>
      <c r="AO634" s="49" t="str">
        <f t="shared" si="18"/>
        <v>2016-06</v>
      </c>
    </row>
    <row r="635">
      <c r="A635" s="36">
        <v>41742.0</v>
      </c>
      <c r="B635" s="34">
        <v>0.711662174281</v>
      </c>
      <c r="D635" t="str">
        <f t="shared" si="6"/>
        <v>2014-04</v>
      </c>
      <c r="G635" s="36">
        <v>42156.0</v>
      </c>
      <c r="H635" s="34">
        <v>0.700677799389</v>
      </c>
      <c r="J635" t="str">
        <f t="shared" si="8"/>
        <v>2015-06</v>
      </c>
      <c r="K635" s="44"/>
      <c r="L635" s="46">
        <v>42536.0</v>
      </c>
      <c r="M635" s="4">
        <v>0.786153956629</v>
      </c>
      <c r="O635" t="str">
        <f t="shared" si="10"/>
        <v>2016-06</v>
      </c>
      <c r="AB635" s="36">
        <v>41759.0</v>
      </c>
      <c r="AC635" s="4">
        <v>0.651875172243</v>
      </c>
      <c r="AE635" t="str">
        <f t="shared" si="14"/>
        <v>2014-04</v>
      </c>
      <c r="AG635" s="36">
        <v>42681.0</v>
      </c>
      <c r="AH635" s="4">
        <v>0.759702965265</v>
      </c>
      <c r="AJ635" s="48" t="str">
        <f t="shared" si="16"/>
        <v>2016-11</v>
      </c>
      <c r="AL635" s="36">
        <v>42532.0</v>
      </c>
      <c r="AM635" s="4">
        <v>0.627644495609</v>
      </c>
      <c r="AO635" s="49" t="str">
        <f t="shared" si="18"/>
        <v>2016-06</v>
      </c>
    </row>
    <row r="636">
      <c r="A636" s="36">
        <v>41743.0</v>
      </c>
      <c r="B636" s="34">
        <v>0.708072016285</v>
      </c>
      <c r="D636" t="str">
        <f t="shared" si="6"/>
        <v>2014-04</v>
      </c>
      <c r="G636" s="36">
        <v>42163.0</v>
      </c>
      <c r="H636" s="34">
        <v>0.775930778846</v>
      </c>
      <c r="J636" t="str">
        <f t="shared" si="8"/>
        <v>2015-06</v>
      </c>
      <c r="K636" s="44"/>
      <c r="L636" s="46">
        <v>42537.0</v>
      </c>
      <c r="M636" s="4">
        <v>0.944636752223</v>
      </c>
      <c r="O636" t="str">
        <f t="shared" si="10"/>
        <v>2016-06</v>
      </c>
      <c r="AB636" s="36">
        <v>41765.0</v>
      </c>
      <c r="AC636" s="4">
        <v>0.67599642167</v>
      </c>
      <c r="AE636" t="str">
        <f t="shared" si="14"/>
        <v>2014-05</v>
      </c>
      <c r="AG636" s="36">
        <v>42682.0</v>
      </c>
      <c r="AH636" s="4">
        <v>0.752554892575</v>
      </c>
      <c r="AJ636" s="48" t="str">
        <f t="shared" si="16"/>
        <v>2016-11</v>
      </c>
      <c r="AL636" s="36">
        <v>42538.0</v>
      </c>
      <c r="AM636" s="4">
        <v>0.768967745892</v>
      </c>
      <c r="AO636" s="49" t="str">
        <f t="shared" si="18"/>
        <v>2016-06</v>
      </c>
    </row>
    <row r="637">
      <c r="A637" s="36">
        <v>41749.0</v>
      </c>
      <c r="B637" s="34">
        <v>0.650019693802</v>
      </c>
      <c r="D637" t="str">
        <f t="shared" si="6"/>
        <v>2014-04</v>
      </c>
      <c r="G637" s="36">
        <v>42170.0</v>
      </c>
      <c r="H637" s="34">
        <v>0.713815820191</v>
      </c>
      <c r="J637" t="str">
        <f t="shared" si="8"/>
        <v>2015-06</v>
      </c>
      <c r="K637" s="44"/>
      <c r="L637" s="46">
        <v>42543.0</v>
      </c>
      <c r="M637" s="4">
        <v>0.672348666744</v>
      </c>
      <c r="O637" t="str">
        <f t="shared" si="10"/>
        <v>2016-06</v>
      </c>
      <c r="AB637" s="36">
        <v>41766.0</v>
      </c>
      <c r="AC637" s="4">
        <v>0.671294072041</v>
      </c>
      <c r="AE637" t="str">
        <f t="shared" si="14"/>
        <v>2014-05</v>
      </c>
      <c r="AG637" s="36">
        <v>42688.0</v>
      </c>
      <c r="AH637" s="4">
        <v>0.749212172449</v>
      </c>
      <c r="AJ637" s="48" t="str">
        <f t="shared" si="16"/>
        <v>2016-11</v>
      </c>
      <c r="AL637" s="36">
        <v>42539.0</v>
      </c>
      <c r="AM637" s="4">
        <v>0.699365126737</v>
      </c>
      <c r="AO637" s="49" t="str">
        <f t="shared" si="18"/>
        <v>2016-06</v>
      </c>
    </row>
    <row r="638">
      <c r="A638" s="36">
        <v>41750.0</v>
      </c>
      <c r="B638" s="34">
        <v>0.826614949615</v>
      </c>
      <c r="D638" t="str">
        <f t="shared" si="6"/>
        <v>2014-04</v>
      </c>
      <c r="G638" s="36">
        <v>42177.0</v>
      </c>
      <c r="H638" s="34">
        <v>0.706656516332</v>
      </c>
      <c r="J638" t="str">
        <f t="shared" si="8"/>
        <v>2015-06</v>
      </c>
      <c r="K638" s="44"/>
      <c r="L638" s="46">
        <v>42544.0</v>
      </c>
      <c r="M638" s="4">
        <v>0.630345385387</v>
      </c>
      <c r="O638" t="str">
        <f t="shared" si="10"/>
        <v>2016-06</v>
      </c>
      <c r="AB638" s="36">
        <v>41772.0</v>
      </c>
      <c r="AC638" s="4">
        <v>0.679124999541</v>
      </c>
      <c r="AE638" t="str">
        <f t="shared" si="14"/>
        <v>2014-05</v>
      </c>
      <c r="AG638" s="36">
        <v>42689.0</v>
      </c>
      <c r="AH638" s="4">
        <v>0.73729502847</v>
      </c>
      <c r="AJ638" s="48" t="str">
        <f t="shared" si="16"/>
        <v>2016-11</v>
      </c>
      <c r="AL638" s="36">
        <v>42545.0</v>
      </c>
      <c r="AM638" s="4">
        <v>0.7216511843</v>
      </c>
      <c r="AO638" s="49" t="str">
        <f t="shared" si="18"/>
        <v>2016-06</v>
      </c>
    </row>
    <row r="639">
      <c r="A639" s="36">
        <v>41756.0</v>
      </c>
      <c r="B639" s="34">
        <v>0.755882674874</v>
      </c>
      <c r="D639" t="str">
        <f t="shared" si="6"/>
        <v>2014-04</v>
      </c>
      <c r="G639" s="36">
        <v>42184.0</v>
      </c>
      <c r="H639" s="34">
        <v>0.70306932547</v>
      </c>
      <c r="J639" t="str">
        <f t="shared" si="8"/>
        <v>2015-06</v>
      </c>
      <c r="K639" s="44"/>
      <c r="L639" s="46">
        <v>42550.0</v>
      </c>
      <c r="M639" s="4">
        <v>0.790959389967</v>
      </c>
      <c r="O639" t="str">
        <f t="shared" si="10"/>
        <v>2016-06</v>
      </c>
      <c r="AB639" s="36">
        <v>41773.0</v>
      </c>
      <c r="AC639" s="4">
        <v>0.691607390412</v>
      </c>
      <c r="AE639" t="str">
        <f t="shared" si="14"/>
        <v>2014-05</v>
      </c>
      <c r="AG639" s="36">
        <v>42695.0</v>
      </c>
      <c r="AH639" s="4">
        <v>0.696602954397</v>
      </c>
      <c r="AJ639" s="48" t="str">
        <f t="shared" si="16"/>
        <v>2016-11</v>
      </c>
      <c r="AL639" s="36">
        <v>42546.0</v>
      </c>
      <c r="AM639" s="4">
        <v>0.667042726791</v>
      </c>
      <c r="AO639" s="49" t="str">
        <f t="shared" si="18"/>
        <v>2016-06</v>
      </c>
    </row>
    <row r="640">
      <c r="A640" s="36">
        <v>41757.0</v>
      </c>
      <c r="B640" s="34">
        <v>0.667919504024</v>
      </c>
      <c r="D640" t="str">
        <f t="shared" si="6"/>
        <v>2014-04</v>
      </c>
      <c r="G640" s="36">
        <v>42191.0</v>
      </c>
      <c r="H640" s="34">
        <v>0.741269255918</v>
      </c>
      <c r="J640" t="str">
        <f t="shared" si="8"/>
        <v>2015-07</v>
      </c>
      <c r="K640" s="44"/>
      <c r="L640" s="46">
        <v>42551.0</v>
      </c>
      <c r="M640" s="4">
        <v>0.754207309049</v>
      </c>
      <c r="O640" t="str">
        <f t="shared" si="10"/>
        <v>2016-06</v>
      </c>
      <c r="AB640" s="36">
        <v>41779.0</v>
      </c>
      <c r="AC640" s="4">
        <v>0.698356287949</v>
      </c>
      <c r="AE640" t="str">
        <f t="shared" si="14"/>
        <v>2014-05</v>
      </c>
      <c r="AG640" s="36">
        <v>42696.0</v>
      </c>
      <c r="AH640" s="4">
        <v>0.689137107063</v>
      </c>
      <c r="AJ640" s="48" t="str">
        <f t="shared" si="16"/>
        <v>2016-11</v>
      </c>
      <c r="AL640" s="36">
        <v>42552.0</v>
      </c>
      <c r="AM640" s="4">
        <v>0.652081213084</v>
      </c>
      <c r="AO640" s="49" t="str">
        <f t="shared" si="18"/>
        <v>2016-07</v>
      </c>
    </row>
    <row r="641">
      <c r="A641" s="36">
        <v>41763.0</v>
      </c>
      <c r="B641" s="34">
        <v>0.733382130347</v>
      </c>
      <c r="D641" t="str">
        <f t="shared" si="6"/>
        <v>2014-05</v>
      </c>
      <c r="G641" s="36">
        <v>42198.0</v>
      </c>
      <c r="H641" s="34">
        <v>0.749176026696</v>
      </c>
      <c r="J641" t="str">
        <f t="shared" si="8"/>
        <v>2015-07</v>
      </c>
      <c r="K641" s="44"/>
      <c r="L641" s="46">
        <v>42557.0</v>
      </c>
      <c r="M641" s="4">
        <v>0.718797347629</v>
      </c>
      <c r="O641" t="str">
        <f t="shared" si="10"/>
        <v>2016-07</v>
      </c>
      <c r="AB641" s="36">
        <v>41780.0</v>
      </c>
      <c r="AC641" s="4">
        <v>0.767545137671</v>
      </c>
      <c r="AE641" t="str">
        <f t="shared" si="14"/>
        <v>2014-05</v>
      </c>
      <c r="AG641" s="36">
        <v>42702.0</v>
      </c>
      <c r="AH641" s="4">
        <v>0.682728036796</v>
      </c>
      <c r="AJ641" s="48" t="str">
        <f t="shared" si="16"/>
        <v>2016-11</v>
      </c>
      <c r="AL641" s="36">
        <v>42559.0</v>
      </c>
      <c r="AM641" s="4">
        <v>0.752556284049</v>
      </c>
      <c r="AO641" s="49" t="str">
        <f t="shared" si="18"/>
        <v>2016-07</v>
      </c>
    </row>
    <row r="642">
      <c r="A642" s="36">
        <v>41764.0</v>
      </c>
      <c r="B642" s="34">
        <v>0.717217541561</v>
      </c>
      <c r="D642" t="str">
        <f t="shared" si="6"/>
        <v>2014-05</v>
      </c>
      <c r="G642" s="36">
        <v>42205.0</v>
      </c>
      <c r="H642" s="34">
        <v>0.696078282246</v>
      </c>
      <c r="J642" t="str">
        <f t="shared" si="8"/>
        <v>2015-07</v>
      </c>
      <c r="K642" s="44"/>
      <c r="L642" s="46">
        <v>42558.0</v>
      </c>
      <c r="M642" s="4">
        <v>0.778500916211</v>
      </c>
      <c r="O642" t="str">
        <f t="shared" si="10"/>
        <v>2016-07</v>
      </c>
      <c r="AB642" s="36">
        <v>41786.0</v>
      </c>
      <c r="AC642" s="4">
        <v>0.710807126341</v>
      </c>
      <c r="AE642" t="str">
        <f t="shared" si="14"/>
        <v>2014-05</v>
      </c>
      <c r="AG642" s="36">
        <v>42703.0</v>
      </c>
      <c r="AH642" s="4">
        <v>0.822803467378</v>
      </c>
      <c r="AJ642" s="48" t="str">
        <f t="shared" si="16"/>
        <v>2016-11</v>
      </c>
      <c r="AL642" s="36">
        <v>42560.0</v>
      </c>
      <c r="AM642" s="4">
        <v>0.718924420843</v>
      </c>
      <c r="AO642" s="49" t="str">
        <f t="shared" si="18"/>
        <v>2016-07</v>
      </c>
    </row>
    <row r="643">
      <c r="A643" s="36">
        <v>41770.0</v>
      </c>
      <c r="B643" s="34">
        <v>0.727260186823</v>
      </c>
      <c r="D643" t="str">
        <f t="shared" si="6"/>
        <v>2014-05</v>
      </c>
      <c r="G643" s="36">
        <v>42211.0</v>
      </c>
      <c r="H643" s="34">
        <v>0.726302785344</v>
      </c>
      <c r="J643" t="str">
        <f t="shared" si="8"/>
        <v>2015-07</v>
      </c>
      <c r="K643" s="44"/>
      <c r="L643" s="46">
        <v>42564.0</v>
      </c>
      <c r="M643" s="4">
        <v>0.724056458104</v>
      </c>
      <c r="O643" t="str">
        <f t="shared" si="10"/>
        <v>2016-07</v>
      </c>
      <c r="AB643" s="36">
        <v>41787.0</v>
      </c>
      <c r="AC643" s="4">
        <v>0.735718767938</v>
      </c>
      <c r="AE643" t="str">
        <f t="shared" si="14"/>
        <v>2014-05</v>
      </c>
      <c r="AG643" s="36">
        <v>42709.0</v>
      </c>
      <c r="AH643" s="4">
        <v>0.684618913386</v>
      </c>
      <c r="AJ643" s="48" t="str">
        <f t="shared" si="16"/>
        <v>2016-12</v>
      </c>
      <c r="AL643" s="36">
        <v>42566.0</v>
      </c>
      <c r="AM643" s="4">
        <v>0.667422723748</v>
      </c>
      <c r="AO643" s="49" t="str">
        <f t="shared" si="18"/>
        <v>2016-07</v>
      </c>
    </row>
    <row r="644">
      <c r="A644" s="36">
        <v>41771.0</v>
      </c>
      <c r="B644" s="34">
        <v>0.739257563261</v>
      </c>
      <c r="D644" t="str">
        <f t="shared" si="6"/>
        <v>2014-05</v>
      </c>
      <c r="G644" s="36">
        <v>42212.0</v>
      </c>
      <c r="H644" s="34">
        <v>0.749423613134</v>
      </c>
      <c r="J644" t="str">
        <f t="shared" si="8"/>
        <v>2015-07</v>
      </c>
      <c r="K644" s="44"/>
      <c r="L644" s="46">
        <v>42565.0</v>
      </c>
      <c r="M644" s="4">
        <v>0.85905520428</v>
      </c>
      <c r="O644" t="str">
        <f t="shared" si="10"/>
        <v>2016-07</v>
      </c>
      <c r="AB644" s="36">
        <v>41793.0</v>
      </c>
      <c r="AC644" s="4">
        <v>0.690701355913</v>
      </c>
      <c r="AE644" t="str">
        <f t="shared" si="14"/>
        <v>2014-06</v>
      </c>
      <c r="AG644" s="36">
        <v>42710.0</v>
      </c>
      <c r="AH644" s="4">
        <v>0.701399178784</v>
      </c>
      <c r="AJ644" s="48" t="str">
        <f t="shared" si="16"/>
        <v>2016-12</v>
      </c>
      <c r="AL644" s="36">
        <v>42567.0</v>
      </c>
      <c r="AM644" s="4">
        <v>0.737604752448</v>
      </c>
      <c r="AO644" s="49" t="str">
        <f t="shared" si="18"/>
        <v>2016-07</v>
      </c>
    </row>
    <row r="645">
      <c r="A645" s="36">
        <v>41777.0</v>
      </c>
      <c r="B645" s="34">
        <v>0.700605260443</v>
      </c>
      <c r="D645" t="str">
        <f t="shared" si="6"/>
        <v>2014-05</v>
      </c>
      <c r="G645" s="36">
        <v>42219.0</v>
      </c>
      <c r="H645" s="34">
        <v>0.718253062287</v>
      </c>
      <c r="J645" t="str">
        <f t="shared" si="8"/>
        <v>2015-08</v>
      </c>
      <c r="K645" s="44"/>
      <c r="L645" s="46">
        <v>42571.0</v>
      </c>
      <c r="M645" s="4">
        <v>0.769737081928</v>
      </c>
      <c r="O645" t="str">
        <f t="shared" si="10"/>
        <v>2016-07</v>
      </c>
      <c r="AB645" s="36">
        <v>41794.0</v>
      </c>
      <c r="AC645" s="4">
        <v>0.682270215316</v>
      </c>
      <c r="AE645" t="str">
        <f t="shared" si="14"/>
        <v>2014-06</v>
      </c>
      <c r="AG645" s="36">
        <v>42716.0</v>
      </c>
      <c r="AH645" s="4">
        <v>0.556709540243</v>
      </c>
      <c r="AJ645" s="48" t="str">
        <f t="shared" si="16"/>
        <v>2016-12</v>
      </c>
      <c r="AL645" s="36">
        <v>42573.0</v>
      </c>
      <c r="AM645" s="4">
        <v>0.794983459235</v>
      </c>
      <c r="AO645" s="49" t="str">
        <f t="shared" si="18"/>
        <v>2016-07</v>
      </c>
    </row>
    <row r="646">
      <c r="A646" s="36">
        <v>41778.0</v>
      </c>
      <c r="B646" s="34">
        <v>0.736056905172</v>
      </c>
      <c r="D646" t="str">
        <f t="shared" si="6"/>
        <v>2014-05</v>
      </c>
      <c r="G646" s="36">
        <v>42226.0</v>
      </c>
      <c r="H646" s="34">
        <v>0.740962639361</v>
      </c>
      <c r="J646" t="str">
        <f t="shared" si="8"/>
        <v>2015-08</v>
      </c>
      <c r="K646" s="44"/>
      <c r="L646" s="46">
        <v>42572.0</v>
      </c>
      <c r="M646" s="4">
        <v>0.787497299865</v>
      </c>
      <c r="O646" t="str">
        <f t="shared" si="10"/>
        <v>2016-07</v>
      </c>
      <c r="AB646" s="36">
        <v>41800.0</v>
      </c>
      <c r="AC646" s="4">
        <v>0.660009715148</v>
      </c>
      <c r="AE646" t="str">
        <f t="shared" si="14"/>
        <v>2014-06</v>
      </c>
      <c r="AG646" s="36">
        <v>42717.0</v>
      </c>
      <c r="AH646" s="4">
        <v>0.715066823263</v>
      </c>
      <c r="AJ646" s="48" t="str">
        <f t="shared" si="16"/>
        <v>2016-12</v>
      </c>
      <c r="AL646" s="36">
        <v>42580.0</v>
      </c>
      <c r="AM646" s="4">
        <v>0.69116096196</v>
      </c>
      <c r="AO646" s="49" t="str">
        <f t="shared" si="18"/>
        <v>2016-07</v>
      </c>
    </row>
    <row r="647">
      <c r="A647" s="36">
        <v>41784.0</v>
      </c>
      <c r="B647" s="34">
        <v>0.655692828585</v>
      </c>
      <c r="D647" t="str">
        <f t="shared" si="6"/>
        <v>2014-05</v>
      </c>
      <c r="G647" s="36">
        <v>42233.0</v>
      </c>
      <c r="H647" s="34">
        <v>0.757356106645</v>
      </c>
      <c r="J647" t="str">
        <f t="shared" si="8"/>
        <v>2015-08</v>
      </c>
      <c r="K647" s="44"/>
      <c r="L647" s="46">
        <v>42578.0</v>
      </c>
      <c r="M647" s="4">
        <v>0.741393813182</v>
      </c>
      <c r="O647" t="str">
        <f t="shared" si="10"/>
        <v>2016-07</v>
      </c>
      <c r="AB647" s="36">
        <v>41801.0</v>
      </c>
      <c r="AC647" s="4">
        <v>0.629910307463</v>
      </c>
      <c r="AE647" t="str">
        <f t="shared" si="14"/>
        <v>2014-06</v>
      </c>
      <c r="AG647" s="36">
        <v>42723.0</v>
      </c>
      <c r="AH647" s="4">
        <v>0.757951990864</v>
      </c>
      <c r="AJ647" s="48" t="str">
        <f t="shared" si="16"/>
        <v>2016-12</v>
      </c>
      <c r="AL647" s="36">
        <v>42581.0</v>
      </c>
      <c r="AM647" s="4">
        <v>0.749263392148</v>
      </c>
      <c r="AO647" s="49" t="str">
        <f t="shared" si="18"/>
        <v>2016-07</v>
      </c>
    </row>
    <row r="648">
      <c r="A648" s="36">
        <v>41785.0</v>
      </c>
      <c r="B648" s="34">
        <v>0.606892055864</v>
      </c>
      <c r="D648" t="str">
        <f t="shared" si="6"/>
        <v>2014-05</v>
      </c>
      <c r="G648" s="36">
        <v>42240.0</v>
      </c>
      <c r="H648" s="34">
        <v>0.753851653188</v>
      </c>
      <c r="J648" t="str">
        <f t="shared" si="8"/>
        <v>2015-08</v>
      </c>
      <c r="K648" s="44"/>
      <c r="L648" s="46">
        <v>42579.0</v>
      </c>
      <c r="M648" s="4">
        <v>0.859507398389</v>
      </c>
      <c r="O648" t="str">
        <f t="shared" si="10"/>
        <v>2016-07</v>
      </c>
      <c r="AB648" s="36">
        <v>41807.0</v>
      </c>
      <c r="AC648" s="4">
        <v>0.719578502718</v>
      </c>
      <c r="AE648" t="str">
        <f t="shared" si="14"/>
        <v>2014-06</v>
      </c>
      <c r="AG648" s="36">
        <v>42730.0</v>
      </c>
      <c r="AH648" s="4">
        <v>0.689589416936</v>
      </c>
      <c r="AJ648" s="48" t="str">
        <f t="shared" si="16"/>
        <v>2016-12</v>
      </c>
      <c r="AL648" s="36">
        <v>42587.0</v>
      </c>
      <c r="AM648" s="4">
        <v>0.731395412916</v>
      </c>
      <c r="AO648" s="49" t="str">
        <f t="shared" si="18"/>
        <v>2016-08</v>
      </c>
    </row>
    <row r="649">
      <c r="A649" s="36">
        <v>41791.0</v>
      </c>
      <c r="B649" s="34">
        <v>0.743661042623</v>
      </c>
      <c r="D649" t="str">
        <f t="shared" si="6"/>
        <v>2014-06</v>
      </c>
      <c r="G649" s="36">
        <v>42246.0</v>
      </c>
      <c r="H649" s="34">
        <v>0.66946979778</v>
      </c>
      <c r="J649" t="str">
        <f t="shared" si="8"/>
        <v>2015-08</v>
      </c>
      <c r="K649" s="44"/>
      <c r="L649" s="46">
        <v>42585.0</v>
      </c>
      <c r="M649" s="4">
        <v>0.703225055545</v>
      </c>
      <c r="O649" t="str">
        <f t="shared" si="10"/>
        <v>2016-08</v>
      </c>
      <c r="AB649" s="36">
        <v>41808.0</v>
      </c>
      <c r="AC649" s="4">
        <v>0.784579383121</v>
      </c>
      <c r="AE649" t="str">
        <f t="shared" si="14"/>
        <v>2014-06</v>
      </c>
      <c r="AG649" s="36">
        <v>42731.0</v>
      </c>
      <c r="AH649" s="4">
        <v>0.783554598815</v>
      </c>
      <c r="AJ649" s="48" t="str">
        <f t="shared" si="16"/>
        <v>2016-12</v>
      </c>
      <c r="AL649" s="36">
        <v>42594.0</v>
      </c>
      <c r="AM649" s="4">
        <v>0.705353163682</v>
      </c>
      <c r="AO649" s="49" t="str">
        <f t="shared" si="18"/>
        <v>2016-08</v>
      </c>
    </row>
    <row r="650">
      <c r="A650" s="36">
        <v>41792.0</v>
      </c>
      <c r="B650" s="34">
        <v>0.795544042996</v>
      </c>
      <c r="D650" t="str">
        <f t="shared" si="6"/>
        <v>2014-06</v>
      </c>
      <c r="G650" s="36">
        <v>42247.0</v>
      </c>
      <c r="H650" s="34">
        <v>0.766582989213</v>
      </c>
      <c r="J650" t="str">
        <f t="shared" si="8"/>
        <v>2015-08</v>
      </c>
      <c r="K650" s="44"/>
      <c r="L650" s="46">
        <v>42586.0</v>
      </c>
      <c r="M650" s="4">
        <v>0.835736266254</v>
      </c>
      <c r="O650" t="str">
        <f t="shared" si="10"/>
        <v>2016-08</v>
      </c>
      <c r="AB650" s="36">
        <v>41814.0</v>
      </c>
      <c r="AC650" s="4">
        <v>0.695433032531</v>
      </c>
      <c r="AE650" t="str">
        <f t="shared" si="14"/>
        <v>2014-06</v>
      </c>
      <c r="AG650" s="36">
        <v>42737.0</v>
      </c>
      <c r="AH650" s="4">
        <v>0.594950783801</v>
      </c>
      <c r="AJ650" s="48" t="str">
        <f t="shared" si="16"/>
        <v>2017-01</v>
      </c>
      <c r="AL650" s="36">
        <v>42595.0</v>
      </c>
      <c r="AM650" s="4">
        <v>0.79226085485</v>
      </c>
      <c r="AO650" s="49" t="str">
        <f t="shared" si="18"/>
        <v>2016-08</v>
      </c>
    </row>
    <row r="651">
      <c r="A651" s="36">
        <v>41798.0</v>
      </c>
      <c r="B651" s="34">
        <v>0.685244058664</v>
      </c>
      <c r="D651" t="str">
        <f t="shared" si="6"/>
        <v>2014-06</v>
      </c>
      <c r="G651" s="36">
        <v>42254.0</v>
      </c>
      <c r="H651" s="34">
        <v>0.783156581917</v>
      </c>
      <c r="J651" t="str">
        <f t="shared" si="8"/>
        <v>2015-09</v>
      </c>
      <c r="K651" s="44"/>
      <c r="L651" s="46">
        <v>42592.0</v>
      </c>
      <c r="M651" s="4">
        <v>0.732381573412</v>
      </c>
      <c r="O651" t="str">
        <f t="shared" si="10"/>
        <v>2016-08</v>
      </c>
      <c r="AB651" s="36">
        <v>41815.0</v>
      </c>
      <c r="AC651" s="4">
        <v>0.791882002708</v>
      </c>
      <c r="AE651" t="str">
        <f t="shared" si="14"/>
        <v>2014-06</v>
      </c>
      <c r="AG651" s="36">
        <v>42738.0</v>
      </c>
      <c r="AH651" s="4">
        <v>0.607701300304</v>
      </c>
      <c r="AJ651" s="48" t="str">
        <f t="shared" si="16"/>
        <v>2017-01</v>
      </c>
      <c r="AL651" s="36">
        <v>42601.0</v>
      </c>
      <c r="AM651" s="4">
        <v>0.685178782515</v>
      </c>
      <c r="AO651" s="49" t="str">
        <f t="shared" si="18"/>
        <v>2016-08</v>
      </c>
    </row>
    <row r="652">
      <c r="A652" s="36">
        <v>41799.0</v>
      </c>
      <c r="B652" s="34">
        <v>0.708367084432</v>
      </c>
      <c r="D652" t="str">
        <f t="shared" si="6"/>
        <v>2014-06</v>
      </c>
      <c r="G652" s="36">
        <v>42261.0</v>
      </c>
      <c r="H652" s="34">
        <v>0.784682245392</v>
      </c>
      <c r="J652" t="str">
        <f t="shared" si="8"/>
        <v>2015-09</v>
      </c>
      <c r="K652" s="44"/>
      <c r="L652" s="46">
        <v>42593.0</v>
      </c>
      <c r="M652" s="4">
        <v>0.840607124398</v>
      </c>
      <c r="O652" t="str">
        <f t="shared" si="10"/>
        <v>2016-08</v>
      </c>
      <c r="AB652" s="36">
        <v>41821.0</v>
      </c>
      <c r="AC652" s="4">
        <v>0.635106201752</v>
      </c>
      <c r="AE652" t="str">
        <f t="shared" si="14"/>
        <v>2014-07</v>
      </c>
      <c r="AG652" s="36">
        <v>42744.0</v>
      </c>
      <c r="AH652" s="4">
        <v>0.778875416805</v>
      </c>
      <c r="AJ652" s="48" t="str">
        <f t="shared" si="16"/>
        <v>2017-01</v>
      </c>
      <c r="AL652" s="36">
        <v>42602.0</v>
      </c>
      <c r="AM652" s="4">
        <v>0.911581408689</v>
      </c>
      <c r="AO652" s="49" t="str">
        <f t="shared" si="18"/>
        <v>2016-08</v>
      </c>
    </row>
    <row r="653">
      <c r="A653" s="36">
        <v>41805.0</v>
      </c>
      <c r="B653" s="34">
        <v>0.705674927867</v>
      </c>
      <c r="D653" t="str">
        <f t="shared" si="6"/>
        <v>2014-06</v>
      </c>
      <c r="G653" s="36">
        <v>42267.0</v>
      </c>
      <c r="H653" s="34">
        <v>0.568203912183</v>
      </c>
      <c r="J653" t="str">
        <f t="shared" si="8"/>
        <v>2015-09</v>
      </c>
      <c r="K653" s="44"/>
      <c r="L653" s="46">
        <v>42599.0</v>
      </c>
      <c r="M653" s="4">
        <v>0.692099307496</v>
      </c>
      <c r="O653" t="str">
        <f t="shared" si="10"/>
        <v>2016-08</v>
      </c>
      <c r="AB653" s="36">
        <v>41822.0</v>
      </c>
      <c r="AC653" s="4">
        <v>0.661455744887</v>
      </c>
      <c r="AE653" t="str">
        <f t="shared" si="14"/>
        <v>2014-07</v>
      </c>
      <c r="AG653" s="36">
        <v>42745.0</v>
      </c>
      <c r="AH653" s="4">
        <v>0.699106477181</v>
      </c>
      <c r="AJ653" s="48" t="str">
        <f t="shared" si="16"/>
        <v>2017-01</v>
      </c>
      <c r="AL653" s="36">
        <v>42608.0</v>
      </c>
      <c r="AM653" s="4">
        <v>0.772868087857</v>
      </c>
      <c r="AO653" s="49" t="str">
        <f t="shared" si="18"/>
        <v>2016-08</v>
      </c>
    </row>
    <row r="654">
      <c r="A654" s="36">
        <v>41806.0</v>
      </c>
      <c r="B654" s="34">
        <v>0.603140648299</v>
      </c>
      <c r="D654" t="str">
        <f t="shared" si="6"/>
        <v>2014-06</v>
      </c>
      <c r="G654" s="36">
        <v>42268.0</v>
      </c>
      <c r="H654" s="34">
        <v>0.764749440538</v>
      </c>
      <c r="J654" t="str">
        <f t="shared" si="8"/>
        <v>2015-09</v>
      </c>
      <c r="K654" s="44"/>
      <c r="L654" s="46">
        <v>42600.0</v>
      </c>
      <c r="M654" s="4">
        <v>0.621065137446</v>
      </c>
      <c r="O654" t="str">
        <f t="shared" si="10"/>
        <v>2016-08</v>
      </c>
      <c r="AB654" s="36">
        <v>41828.0</v>
      </c>
      <c r="AC654" s="4">
        <v>0.707261038046</v>
      </c>
      <c r="AE654" t="str">
        <f t="shared" si="14"/>
        <v>2014-07</v>
      </c>
      <c r="AG654" s="36">
        <v>42751.0</v>
      </c>
      <c r="AH654" s="4">
        <v>0.70813173845</v>
      </c>
      <c r="AJ654" s="48" t="str">
        <f t="shared" si="16"/>
        <v>2017-01</v>
      </c>
      <c r="AL654" s="36">
        <v>42609.0</v>
      </c>
      <c r="AM654" s="4">
        <v>0.838720534749</v>
      </c>
      <c r="AO654" s="49" t="str">
        <f t="shared" si="18"/>
        <v>2016-08</v>
      </c>
    </row>
    <row r="655">
      <c r="A655" s="36">
        <v>41812.0</v>
      </c>
      <c r="B655" s="34">
        <v>0.689235523832</v>
      </c>
      <c r="D655" t="str">
        <f t="shared" si="6"/>
        <v>2014-06</v>
      </c>
      <c r="G655" s="36">
        <v>42275.0</v>
      </c>
      <c r="H655" s="34">
        <v>0.607913112079</v>
      </c>
      <c r="J655" t="str">
        <f t="shared" si="8"/>
        <v>2015-09</v>
      </c>
      <c r="K655" s="44"/>
      <c r="L655" s="46">
        <v>42605.0</v>
      </c>
      <c r="M655" s="4">
        <v>0.926085298405</v>
      </c>
      <c r="O655" t="str">
        <f t="shared" si="10"/>
        <v>2016-08</v>
      </c>
      <c r="AB655" s="36">
        <v>41829.0</v>
      </c>
      <c r="AC655" s="4">
        <v>0.70366402532</v>
      </c>
      <c r="AE655" t="str">
        <f t="shared" si="14"/>
        <v>2014-07</v>
      </c>
      <c r="AG655" s="36">
        <v>42752.0</v>
      </c>
      <c r="AH655" s="4">
        <v>0.706123070613</v>
      </c>
      <c r="AJ655" s="48" t="str">
        <f t="shared" si="16"/>
        <v>2017-01</v>
      </c>
      <c r="AL655" s="36">
        <v>42615.0</v>
      </c>
      <c r="AM655" s="4">
        <v>0.718594126118</v>
      </c>
      <c r="AO655" s="49" t="str">
        <f t="shared" si="18"/>
        <v>2016-09</v>
      </c>
    </row>
    <row r="656">
      <c r="A656" s="36">
        <v>41813.0</v>
      </c>
      <c r="B656" s="34">
        <v>0.63771052203</v>
      </c>
      <c r="D656" t="str">
        <f t="shared" si="6"/>
        <v>2014-06</v>
      </c>
      <c r="G656" s="36">
        <v>42282.0</v>
      </c>
      <c r="H656" s="34">
        <v>0.765439621396</v>
      </c>
      <c r="J656" t="str">
        <f t="shared" si="8"/>
        <v>2015-10</v>
      </c>
      <c r="K656" s="44"/>
      <c r="L656" s="46">
        <v>42606.0</v>
      </c>
      <c r="M656" s="4">
        <v>0.690955240696</v>
      </c>
      <c r="O656" t="str">
        <f t="shared" si="10"/>
        <v>2016-08</v>
      </c>
      <c r="AB656" s="36">
        <v>41835.0</v>
      </c>
      <c r="AC656" s="4">
        <v>0.691405559005</v>
      </c>
      <c r="AE656" t="str">
        <f t="shared" si="14"/>
        <v>2014-07</v>
      </c>
      <c r="AG656" s="36">
        <v>42758.0</v>
      </c>
      <c r="AH656" s="4">
        <v>0.648602073256</v>
      </c>
      <c r="AJ656" s="48" t="str">
        <f t="shared" si="16"/>
        <v>2017-01</v>
      </c>
      <c r="AL656" s="36">
        <v>42622.0</v>
      </c>
      <c r="AM656" s="4">
        <v>0.800919940461</v>
      </c>
      <c r="AO656" s="49" t="str">
        <f t="shared" si="18"/>
        <v>2016-09</v>
      </c>
    </row>
    <row r="657">
      <c r="A657" s="36">
        <v>41819.0</v>
      </c>
      <c r="B657" s="34">
        <v>0.658238783602</v>
      </c>
      <c r="D657" t="str">
        <f t="shared" si="6"/>
        <v>2014-06</v>
      </c>
      <c r="G657" s="36">
        <v>42289.0</v>
      </c>
      <c r="H657" s="34">
        <v>0.68443631957</v>
      </c>
      <c r="J657" t="str">
        <f t="shared" si="8"/>
        <v>2015-10</v>
      </c>
      <c r="K657" s="44"/>
      <c r="L657" s="46">
        <v>42613.0</v>
      </c>
      <c r="M657" s="4">
        <v>0.736152239937</v>
      </c>
      <c r="O657" t="str">
        <f t="shared" si="10"/>
        <v>2016-08</v>
      </c>
      <c r="AB657" s="36">
        <v>41836.0</v>
      </c>
      <c r="AC657" s="4">
        <v>0.733782145621</v>
      </c>
      <c r="AE657" t="str">
        <f t="shared" si="14"/>
        <v>2014-07</v>
      </c>
      <c r="AG657" s="36">
        <v>42759.0</v>
      </c>
      <c r="AH657" s="4">
        <v>0.627451899336</v>
      </c>
      <c r="AJ657" s="48" t="str">
        <f t="shared" si="16"/>
        <v>2017-01</v>
      </c>
      <c r="AL657" s="36">
        <v>42623.0</v>
      </c>
      <c r="AM657" s="4">
        <v>0.800507323678</v>
      </c>
      <c r="AO657" s="49" t="str">
        <f t="shared" si="18"/>
        <v>2016-09</v>
      </c>
    </row>
    <row r="658">
      <c r="A658" s="36">
        <v>41820.0</v>
      </c>
      <c r="B658" s="34">
        <v>0.640362674012</v>
      </c>
      <c r="D658" t="str">
        <f t="shared" si="6"/>
        <v>2014-06</v>
      </c>
      <c r="G658" s="36">
        <v>42296.0</v>
      </c>
      <c r="H658" s="34">
        <v>0.758388933489</v>
      </c>
      <c r="J658" t="str">
        <f t="shared" si="8"/>
        <v>2015-10</v>
      </c>
      <c r="K658" s="44"/>
      <c r="L658" s="46">
        <v>42614.0</v>
      </c>
      <c r="M658" s="4">
        <v>0.711147775996</v>
      </c>
      <c r="O658" t="str">
        <f t="shared" si="10"/>
        <v>2016-09</v>
      </c>
      <c r="AB658" s="36">
        <v>41842.0</v>
      </c>
      <c r="AC658" s="4">
        <v>0.722559978302</v>
      </c>
      <c r="AE658" t="str">
        <f t="shared" si="14"/>
        <v>2014-07</v>
      </c>
      <c r="AG658" s="36">
        <v>42765.0</v>
      </c>
      <c r="AH658" s="4">
        <v>0.707248759392</v>
      </c>
      <c r="AJ658" s="48" t="str">
        <f t="shared" si="16"/>
        <v>2017-01</v>
      </c>
      <c r="AL658" s="36">
        <v>42629.0</v>
      </c>
      <c r="AM658" s="4">
        <v>0.775941145464</v>
      </c>
      <c r="AO658" s="49" t="str">
        <f t="shared" si="18"/>
        <v>2016-09</v>
      </c>
    </row>
    <row r="659">
      <c r="A659" s="36">
        <v>41826.0</v>
      </c>
      <c r="B659" s="34">
        <v>0.649148848041</v>
      </c>
      <c r="D659" t="str">
        <f t="shared" si="6"/>
        <v>2014-07</v>
      </c>
      <c r="G659" s="36">
        <v>42302.0</v>
      </c>
      <c r="H659" s="34">
        <v>0.795966849809</v>
      </c>
      <c r="J659" t="str">
        <f t="shared" si="8"/>
        <v>2015-10</v>
      </c>
      <c r="K659" s="44"/>
      <c r="L659" s="46">
        <v>42620.0</v>
      </c>
      <c r="M659" s="4">
        <v>0.746691661233</v>
      </c>
      <c r="O659" t="str">
        <f t="shared" si="10"/>
        <v>2016-09</v>
      </c>
      <c r="AB659" s="36">
        <v>41843.0</v>
      </c>
      <c r="AC659" s="4">
        <v>0.787548927421</v>
      </c>
      <c r="AE659" t="str">
        <f t="shared" si="14"/>
        <v>2014-07</v>
      </c>
      <c r="AG659" s="36">
        <v>42766.0</v>
      </c>
      <c r="AH659" s="4">
        <v>0.772283177444</v>
      </c>
      <c r="AJ659" s="48" t="str">
        <f t="shared" si="16"/>
        <v>2017-01</v>
      </c>
      <c r="AL659" s="36">
        <v>42630.0</v>
      </c>
      <c r="AM659" s="4">
        <v>0.585739334022</v>
      </c>
      <c r="AO659" s="49" t="str">
        <f t="shared" si="18"/>
        <v>2016-09</v>
      </c>
    </row>
    <row r="660">
      <c r="A660" s="36">
        <v>41827.0</v>
      </c>
      <c r="B660" s="34">
        <v>0.69237901053</v>
      </c>
      <c r="D660" t="str">
        <f t="shared" si="6"/>
        <v>2014-07</v>
      </c>
      <c r="G660" s="36">
        <v>42303.0</v>
      </c>
      <c r="H660" s="34">
        <v>0.775676880184</v>
      </c>
      <c r="J660" t="str">
        <f t="shared" si="8"/>
        <v>2015-10</v>
      </c>
      <c r="K660" s="44"/>
      <c r="L660" s="46">
        <v>42621.0</v>
      </c>
      <c r="M660" s="4">
        <v>0.501982826609</v>
      </c>
      <c r="O660" t="str">
        <f t="shared" si="10"/>
        <v>2016-09</v>
      </c>
      <c r="AB660" s="36">
        <v>41849.0</v>
      </c>
      <c r="AC660" s="4">
        <v>0.701457477074</v>
      </c>
      <c r="AE660" t="str">
        <f t="shared" si="14"/>
        <v>2014-07</v>
      </c>
      <c r="AG660" s="36">
        <v>42772.0</v>
      </c>
      <c r="AH660" s="4">
        <v>0.685575259109</v>
      </c>
      <c r="AJ660" s="48" t="str">
        <f t="shared" si="16"/>
        <v>2017-02</v>
      </c>
      <c r="AL660" s="36">
        <v>42636.0</v>
      </c>
      <c r="AM660" s="4">
        <v>0.757000450858</v>
      </c>
      <c r="AO660" s="49" t="str">
        <f t="shared" si="18"/>
        <v>2016-09</v>
      </c>
    </row>
    <row r="661">
      <c r="A661" s="36">
        <v>41833.0</v>
      </c>
      <c r="B661" s="34">
        <v>0.647430583194</v>
      </c>
      <c r="D661" t="str">
        <f t="shared" si="6"/>
        <v>2014-07</v>
      </c>
      <c r="G661" s="36">
        <v>42309.0</v>
      </c>
      <c r="H661" s="34">
        <v>0.777149581064</v>
      </c>
      <c r="J661" t="str">
        <f t="shared" si="8"/>
        <v>2015-11</v>
      </c>
      <c r="K661" s="44"/>
      <c r="L661" s="46">
        <v>42627.0</v>
      </c>
      <c r="M661" s="4">
        <v>0.686814312624</v>
      </c>
      <c r="O661" t="str">
        <f t="shared" si="10"/>
        <v>2016-09</v>
      </c>
      <c r="AB661" s="36">
        <v>41850.0</v>
      </c>
      <c r="AC661" s="4">
        <v>0.74504992641</v>
      </c>
      <c r="AE661" t="str">
        <f t="shared" si="14"/>
        <v>2014-07</v>
      </c>
      <c r="AG661" s="36">
        <v>42773.0</v>
      </c>
      <c r="AH661" s="4">
        <v>0.767842647605</v>
      </c>
      <c r="AJ661" s="48" t="str">
        <f t="shared" si="16"/>
        <v>2017-02</v>
      </c>
      <c r="AL661" s="36">
        <v>42637.0</v>
      </c>
      <c r="AM661" s="4">
        <v>0.754324323212</v>
      </c>
      <c r="AO661" s="49" t="str">
        <f t="shared" si="18"/>
        <v>2016-09</v>
      </c>
    </row>
    <row r="662">
      <c r="A662" s="36">
        <v>41834.0</v>
      </c>
      <c r="B662" s="34">
        <v>0.609782591435</v>
      </c>
      <c r="D662" t="str">
        <f t="shared" si="6"/>
        <v>2014-07</v>
      </c>
      <c r="G662" s="36">
        <v>42310.0</v>
      </c>
      <c r="H662" s="34">
        <v>0.839616409853</v>
      </c>
      <c r="J662" t="str">
        <f t="shared" si="8"/>
        <v>2015-11</v>
      </c>
      <c r="K662" s="44"/>
      <c r="L662" s="46">
        <v>42628.0</v>
      </c>
      <c r="M662" s="4">
        <v>0.666733694897</v>
      </c>
      <c r="O662" t="str">
        <f t="shared" si="10"/>
        <v>2016-09</v>
      </c>
      <c r="AB662" s="36">
        <v>41856.0</v>
      </c>
      <c r="AC662" s="4">
        <v>0.692616311201</v>
      </c>
      <c r="AE662" t="str">
        <f t="shared" si="14"/>
        <v>2014-08</v>
      </c>
      <c r="AG662" s="36">
        <v>42779.0</v>
      </c>
      <c r="AH662" s="4">
        <v>0.719714680461</v>
      </c>
      <c r="AJ662" s="48" t="str">
        <f t="shared" si="16"/>
        <v>2017-02</v>
      </c>
      <c r="AL662" s="36">
        <v>42643.0</v>
      </c>
      <c r="AM662" s="4">
        <v>0.710563882855</v>
      </c>
      <c r="AO662" s="49" t="str">
        <f t="shared" si="18"/>
        <v>2016-09</v>
      </c>
    </row>
    <row r="663">
      <c r="A663" s="36">
        <v>41840.0</v>
      </c>
      <c r="B663" s="34">
        <v>0.57475094934</v>
      </c>
      <c r="D663" t="str">
        <f t="shared" si="6"/>
        <v>2014-07</v>
      </c>
      <c r="G663" s="36">
        <v>42316.0</v>
      </c>
      <c r="H663" s="34">
        <v>0.754758920354</v>
      </c>
      <c r="J663" t="str">
        <f t="shared" si="8"/>
        <v>2015-11</v>
      </c>
      <c r="K663" s="44"/>
      <c r="L663" s="46">
        <v>42633.0</v>
      </c>
      <c r="M663" s="4">
        <v>0.7586531231</v>
      </c>
      <c r="O663" t="str">
        <f t="shared" si="10"/>
        <v>2016-09</v>
      </c>
      <c r="AB663" s="36">
        <v>41857.0</v>
      </c>
      <c r="AC663" s="4">
        <v>0.69717937603</v>
      </c>
      <c r="AE663" t="str">
        <f t="shared" si="14"/>
        <v>2014-08</v>
      </c>
      <c r="AG663" s="36">
        <v>42780.0</v>
      </c>
      <c r="AH663" s="4">
        <v>0.712763958313</v>
      </c>
      <c r="AJ663" s="48" t="str">
        <f t="shared" si="16"/>
        <v>2017-02</v>
      </c>
      <c r="AL663" s="36">
        <v>42644.0</v>
      </c>
      <c r="AM663" s="4">
        <v>0.634055152208</v>
      </c>
      <c r="AO663" s="49" t="str">
        <f t="shared" si="18"/>
        <v>2016-10</v>
      </c>
    </row>
    <row r="664">
      <c r="A664" s="36">
        <v>41841.0</v>
      </c>
      <c r="B664" s="34">
        <v>0.726211765488</v>
      </c>
      <c r="D664" t="str">
        <f t="shared" si="6"/>
        <v>2014-07</v>
      </c>
      <c r="G664" s="36">
        <v>42317.0</v>
      </c>
      <c r="H664" s="34">
        <v>0.747448226446</v>
      </c>
      <c r="J664" t="str">
        <f t="shared" si="8"/>
        <v>2015-11</v>
      </c>
      <c r="K664" s="44"/>
      <c r="L664" s="46">
        <v>42634.0</v>
      </c>
      <c r="M664" s="4">
        <v>0.648654719297</v>
      </c>
      <c r="O664" t="str">
        <f t="shared" si="10"/>
        <v>2016-09</v>
      </c>
      <c r="AB664" s="36">
        <v>41863.0</v>
      </c>
      <c r="AC664" s="4">
        <v>0.725575923904</v>
      </c>
      <c r="AE664" t="str">
        <f t="shared" si="14"/>
        <v>2014-08</v>
      </c>
      <c r="AG664" s="36">
        <v>42786.0</v>
      </c>
      <c r="AH664" s="4">
        <v>0.705323130644</v>
      </c>
      <c r="AJ664" s="48" t="str">
        <f t="shared" si="16"/>
        <v>2017-02</v>
      </c>
      <c r="AL664" s="36">
        <v>42650.0</v>
      </c>
      <c r="AM664" s="4">
        <v>0.797274641712</v>
      </c>
      <c r="AO664" s="49" t="str">
        <f t="shared" si="18"/>
        <v>2016-10</v>
      </c>
    </row>
    <row r="665">
      <c r="A665" s="36">
        <v>41847.0</v>
      </c>
      <c r="B665" s="34">
        <v>0.770047320817</v>
      </c>
      <c r="D665" t="str">
        <f t="shared" si="6"/>
        <v>2014-07</v>
      </c>
      <c r="G665" s="36">
        <v>42323.0</v>
      </c>
      <c r="H665" s="34">
        <v>0.690434450144</v>
      </c>
      <c r="J665" t="str">
        <f t="shared" si="8"/>
        <v>2015-11</v>
      </c>
      <c r="K665" s="44"/>
      <c r="L665" s="46">
        <v>42641.0</v>
      </c>
      <c r="M665" s="4">
        <v>0.749775564338</v>
      </c>
      <c r="O665" t="str">
        <f t="shared" si="10"/>
        <v>2016-09</v>
      </c>
      <c r="AB665" s="36">
        <v>41864.0</v>
      </c>
      <c r="AC665" s="4">
        <v>0.735908705989</v>
      </c>
      <c r="AE665" t="str">
        <f t="shared" si="14"/>
        <v>2014-08</v>
      </c>
      <c r="AG665" s="36">
        <v>42787.0</v>
      </c>
      <c r="AH665" s="4">
        <v>0.675175669321</v>
      </c>
      <c r="AJ665" s="48" t="str">
        <f t="shared" si="16"/>
        <v>2017-02</v>
      </c>
      <c r="AL665" s="36">
        <v>42657.0</v>
      </c>
      <c r="AM665" s="4">
        <v>0.676253391212</v>
      </c>
      <c r="AO665" s="49" t="str">
        <f t="shared" si="18"/>
        <v>2016-10</v>
      </c>
    </row>
    <row r="666">
      <c r="A666" s="36">
        <v>41848.0</v>
      </c>
      <c r="B666" s="34">
        <v>0.685708665353</v>
      </c>
      <c r="D666" t="str">
        <f t="shared" si="6"/>
        <v>2014-07</v>
      </c>
      <c r="G666" s="36">
        <v>42324.0</v>
      </c>
      <c r="H666" s="34">
        <v>0.687862240943</v>
      </c>
      <c r="J666" t="str">
        <f t="shared" si="8"/>
        <v>2015-11</v>
      </c>
      <c r="K666" s="44"/>
      <c r="L666" s="46">
        <v>42642.0</v>
      </c>
      <c r="M666" s="4">
        <v>0.687750332693</v>
      </c>
      <c r="O666" t="str">
        <f t="shared" si="10"/>
        <v>2016-09</v>
      </c>
      <c r="AB666" s="36">
        <v>41870.0</v>
      </c>
      <c r="AC666" s="4">
        <v>0.669861499633</v>
      </c>
      <c r="AE666" t="str">
        <f t="shared" si="14"/>
        <v>2014-08</v>
      </c>
      <c r="AG666" s="36">
        <v>42793.0</v>
      </c>
      <c r="AH666" s="4">
        <v>0.643287729237</v>
      </c>
      <c r="AJ666" s="48" t="str">
        <f t="shared" si="16"/>
        <v>2017-02</v>
      </c>
      <c r="AL666" s="36">
        <v>42658.0</v>
      </c>
      <c r="AM666" s="4">
        <v>0.842793804589</v>
      </c>
      <c r="AO666" s="49" t="str">
        <f t="shared" si="18"/>
        <v>2016-10</v>
      </c>
    </row>
    <row r="667">
      <c r="A667" s="36">
        <v>41854.0</v>
      </c>
      <c r="B667" s="34">
        <v>0.723831887086</v>
      </c>
      <c r="D667" t="str">
        <f t="shared" si="6"/>
        <v>2014-08</v>
      </c>
      <c r="G667" s="36">
        <v>42330.0</v>
      </c>
      <c r="H667" s="34">
        <v>0.807506074226</v>
      </c>
      <c r="J667" t="str">
        <f t="shared" si="8"/>
        <v>2015-11</v>
      </c>
      <c r="K667" s="44"/>
      <c r="L667" s="46">
        <v>42648.0</v>
      </c>
      <c r="M667" s="4">
        <v>0.715748140433</v>
      </c>
      <c r="O667" t="str">
        <f t="shared" si="10"/>
        <v>2016-10</v>
      </c>
      <c r="AB667" s="36">
        <v>41871.0</v>
      </c>
      <c r="AC667" s="4">
        <v>0.60689389207</v>
      </c>
      <c r="AE667" t="str">
        <f t="shared" si="14"/>
        <v>2014-08</v>
      </c>
      <c r="AG667" s="36">
        <v>42794.0</v>
      </c>
      <c r="AH667" s="4">
        <v>0.719604506598</v>
      </c>
      <c r="AJ667" s="48" t="str">
        <f t="shared" si="16"/>
        <v>2017-02</v>
      </c>
      <c r="AL667" s="36">
        <v>42664.0</v>
      </c>
      <c r="AM667" s="4">
        <v>0.773129101561</v>
      </c>
      <c r="AO667" s="49" t="str">
        <f t="shared" si="18"/>
        <v>2016-10</v>
      </c>
    </row>
    <row r="668">
      <c r="A668" s="36">
        <v>41855.0</v>
      </c>
      <c r="B668" s="34">
        <v>0.387177952894</v>
      </c>
      <c r="D668" t="str">
        <f t="shared" si="6"/>
        <v>2014-08</v>
      </c>
      <c r="G668" s="36">
        <v>42331.0</v>
      </c>
      <c r="H668" s="34">
        <v>0.775064167683</v>
      </c>
      <c r="J668" t="str">
        <f t="shared" si="8"/>
        <v>2015-11</v>
      </c>
      <c r="K668" s="44"/>
      <c r="L668" s="46">
        <v>42649.0</v>
      </c>
      <c r="M668" s="4">
        <v>0.790574913203</v>
      </c>
      <c r="O668" t="str">
        <f t="shared" si="10"/>
        <v>2016-10</v>
      </c>
      <c r="AB668" s="36">
        <v>41877.0</v>
      </c>
      <c r="AC668" s="4">
        <v>0.693331066339</v>
      </c>
      <c r="AE668" t="str">
        <f t="shared" si="14"/>
        <v>2014-08</v>
      </c>
      <c r="AG668" s="36">
        <v>42800.0</v>
      </c>
      <c r="AH668" s="4">
        <v>0.745078886347</v>
      </c>
      <c r="AJ668" s="48" t="str">
        <f t="shared" si="16"/>
        <v>2017-03</v>
      </c>
      <c r="AL668" s="36">
        <v>42665.0</v>
      </c>
      <c r="AM668" s="4">
        <v>0.631818361586</v>
      </c>
      <c r="AO668" s="49" t="str">
        <f t="shared" si="18"/>
        <v>2016-10</v>
      </c>
    </row>
    <row r="669">
      <c r="A669" s="36">
        <v>41861.0</v>
      </c>
      <c r="B669" s="34">
        <v>0.728890610718</v>
      </c>
      <c r="D669" t="str">
        <f t="shared" si="6"/>
        <v>2014-08</v>
      </c>
      <c r="G669" s="36">
        <v>42337.0</v>
      </c>
      <c r="H669" s="34">
        <v>0.699514328187</v>
      </c>
      <c r="J669" t="str">
        <f t="shared" si="8"/>
        <v>2015-11</v>
      </c>
      <c r="K669" s="44"/>
      <c r="L669" s="46">
        <v>42655.0</v>
      </c>
      <c r="M669" s="4">
        <v>0.750639667158</v>
      </c>
      <c r="O669" t="str">
        <f t="shared" si="10"/>
        <v>2016-10</v>
      </c>
      <c r="AB669" s="36">
        <v>41878.0</v>
      </c>
      <c r="AC669" s="4">
        <v>0.676396745542</v>
      </c>
      <c r="AE669" t="str">
        <f t="shared" si="14"/>
        <v>2014-08</v>
      </c>
      <c r="AG669" s="36">
        <v>42801.0</v>
      </c>
      <c r="AH669" s="4">
        <v>0.575619929683</v>
      </c>
      <c r="AJ669" s="48" t="str">
        <f t="shared" si="16"/>
        <v>2017-03</v>
      </c>
      <c r="AL669" s="36">
        <v>42671.0</v>
      </c>
      <c r="AM669" s="4">
        <v>0.758602921924</v>
      </c>
      <c r="AO669" s="49" t="str">
        <f t="shared" si="18"/>
        <v>2016-10</v>
      </c>
    </row>
    <row r="670">
      <c r="A670" s="36">
        <v>41862.0</v>
      </c>
      <c r="B670" s="34">
        <v>0.72488317781</v>
      </c>
      <c r="D670" t="str">
        <f t="shared" si="6"/>
        <v>2014-08</v>
      </c>
      <c r="G670" s="36">
        <v>42338.0</v>
      </c>
      <c r="H670" s="34">
        <v>0.71356393007</v>
      </c>
      <c r="J670" t="str">
        <f t="shared" si="8"/>
        <v>2015-11</v>
      </c>
      <c r="K670" s="44"/>
      <c r="L670" s="46">
        <v>42656.0</v>
      </c>
      <c r="M670" s="4">
        <v>0.658968630156</v>
      </c>
      <c r="O670" t="str">
        <f t="shared" si="10"/>
        <v>2016-10</v>
      </c>
      <c r="AB670" s="36">
        <v>41884.0</v>
      </c>
      <c r="AC670" s="4">
        <v>0.664256203605</v>
      </c>
      <c r="AE670" t="str">
        <f t="shared" si="14"/>
        <v>2014-09</v>
      </c>
      <c r="AG670" s="36">
        <v>42807.0</v>
      </c>
      <c r="AH670" s="4">
        <v>0.758224724635</v>
      </c>
      <c r="AJ670" s="48" t="str">
        <f t="shared" si="16"/>
        <v>2017-03</v>
      </c>
      <c r="AL670" s="36">
        <v>42672.0</v>
      </c>
      <c r="AM670" s="4">
        <v>0.777645300496</v>
      </c>
      <c r="AO670" s="49" t="str">
        <f t="shared" si="18"/>
        <v>2016-10</v>
      </c>
    </row>
    <row r="671">
      <c r="A671" s="36">
        <v>41868.0</v>
      </c>
      <c r="B671" s="34">
        <v>0.720327925277</v>
      </c>
      <c r="D671" t="str">
        <f t="shared" si="6"/>
        <v>2014-08</v>
      </c>
      <c r="G671" s="36">
        <v>42344.0</v>
      </c>
      <c r="H671" s="34">
        <v>0.855259623893</v>
      </c>
      <c r="J671" t="str">
        <f t="shared" si="8"/>
        <v>2015-12</v>
      </c>
      <c r="K671" s="44"/>
      <c r="L671" s="46">
        <v>42662.0</v>
      </c>
      <c r="M671" s="4">
        <v>0.727245418118</v>
      </c>
      <c r="O671" t="str">
        <f t="shared" si="10"/>
        <v>2016-10</v>
      </c>
      <c r="AB671" s="36">
        <v>41885.0</v>
      </c>
      <c r="AC671" s="4">
        <v>0.675503411982</v>
      </c>
      <c r="AE671" t="str">
        <f t="shared" si="14"/>
        <v>2014-09</v>
      </c>
      <c r="AG671" s="36">
        <v>42808.0</v>
      </c>
      <c r="AH671" s="4">
        <v>0.729766742761</v>
      </c>
      <c r="AJ671" s="48" t="str">
        <f t="shared" si="16"/>
        <v>2017-03</v>
      </c>
      <c r="AL671" s="36">
        <v>42678.0</v>
      </c>
      <c r="AM671" s="4">
        <v>0.738966973579</v>
      </c>
      <c r="AO671" s="49" t="str">
        <f t="shared" si="18"/>
        <v>2016-11</v>
      </c>
    </row>
    <row r="672">
      <c r="A672" s="36">
        <v>41869.0</v>
      </c>
      <c r="B672" s="34">
        <v>0.646484505864</v>
      </c>
      <c r="D672" t="str">
        <f t="shared" si="6"/>
        <v>2014-08</v>
      </c>
      <c r="G672" s="36">
        <v>42345.0</v>
      </c>
      <c r="H672" s="34">
        <v>0.745394429156</v>
      </c>
      <c r="J672" t="str">
        <f t="shared" si="8"/>
        <v>2015-12</v>
      </c>
      <c r="K672" s="44"/>
      <c r="L672" s="46">
        <v>42663.0</v>
      </c>
      <c r="M672" s="4">
        <v>0.794572083655</v>
      </c>
      <c r="O672" t="str">
        <f t="shared" si="10"/>
        <v>2016-10</v>
      </c>
      <c r="AB672" s="36">
        <v>41891.0</v>
      </c>
      <c r="AC672" s="4">
        <v>0.700603792422</v>
      </c>
      <c r="AE672" t="str">
        <f t="shared" si="14"/>
        <v>2014-09</v>
      </c>
      <c r="AG672" s="36">
        <v>42814.0</v>
      </c>
      <c r="AH672" s="4">
        <v>0.77428929523</v>
      </c>
      <c r="AJ672" s="48" t="str">
        <f t="shared" si="16"/>
        <v>2017-03</v>
      </c>
      <c r="AL672" s="36">
        <v>42679.0</v>
      </c>
      <c r="AM672" s="4">
        <v>0.783792524934</v>
      </c>
      <c r="AO672" s="49" t="str">
        <f t="shared" si="18"/>
        <v>2016-11</v>
      </c>
    </row>
    <row r="673">
      <c r="A673" s="36">
        <v>41875.0</v>
      </c>
      <c r="B673" s="34">
        <v>0.731268079282</v>
      </c>
      <c r="D673" t="str">
        <f t="shared" si="6"/>
        <v>2014-08</v>
      </c>
      <c r="G673" s="36">
        <v>42351.0</v>
      </c>
      <c r="H673" s="34">
        <v>0.672548608868</v>
      </c>
      <c r="J673" t="str">
        <f t="shared" si="8"/>
        <v>2015-12</v>
      </c>
      <c r="K673" s="44"/>
      <c r="L673" s="46">
        <v>42669.0</v>
      </c>
      <c r="M673" s="4">
        <v>0.709063880445</v>
      </c>
      <c r="O673" t="str">
        <f t="shared" si="10"/>
        <v>2016-10</v>
      </c>
      <c r="AB673" s="36">
        <v>41892.0</v>
      </c>
      <c r="AC673" s="4">
        <v>0.630062567794</v>
      </c>
      <c r="AE673" t="str">
        <f t="shared" si="14"/>
        <v>2014-09</v>
      </c>
      <c r="AG673" s="36">
        <v>42815.0</v>
      </c>
      <c r="AH673" s="4">
        <v>0.695057079051</v>
      </c>
      <c r="AJ673" s="48" t="str">
        <f t="shared" si="16"/>
        <v>2017-03</v>
      </c>
      <c r="AL673" s="36">
        <v>42685.0</v>
      </c>
      <c r="AM673" s="4">
        <v>0.75054360018</v>
      </c>
      <c r="AO673" s="49" t="str">
        <f t="shared" si="18"/>
        <v>2016-11</v>
      </c>
    </row>
    <row r="674">
      <c r="A674" s="36">
        <v>41876.0</v>
      </c>
      <c r="B674" s="34">
        <v>0.723628485837</v>
      </c>
      <c r="D674" t="str">
        <f t="shared" si="6"/>
        <v>2014-08</v>
      </c>
      <c r="G674" s="36">
        <v>42352.0</v>
      </c>
      <c r="H674" s="34">
        <v>0.639655208915</v>
      </c>
      <c r="J674" t="str">
        <f t="shared" si="8"/>
        <v>2015-12</v>
      </c>
      <c r="K674" s="44"/>
      <c r="L674" s="46">
        <v>42670.0</v>
      </c>
      <c r="M674" s="4">
        <v>0.677767610476</v>
      </c>
      <c r="O674" t="str">
        <f t="shared" si="10"/>
        <v>2016-10</v>
      </c>
      <c r="AB674" s="36">
        <v>41898.0</v>
      </c>
      <c r="AC674" s="4">
        <v>0.709562397366</v>
      </c>
      <c r="AE674" t="str">
        <f t="shared" si="14"/>
        <v>2014-09</v>
      </c>
      <c r="AG674" s="36">
        <v>42821.0</v>
      </c>
      <c r="AH674" s="4">
        <v>0.580139896439</v>
      </c>
      <c r="AJ674" s="48" t="str">
        <f t="shared" si="16"/>
        <v>2017-03</v>
      </c>
      <c r="AL674" s="36">
        <v>42686.0</v>
      </c>
      <c r="AM674" s="4">
        <v>0.709581482061</v>
      </c>
      <c r="AO674" s="49" t="str">
        <f t="shared" si="18"/>
        <v>2016-11</v>
      </c>
    </row>
    <row r="675">
      <c r="A675" s="36">
        <v>41882.0</v>
      </c>
      <c r="B675" s="34">
        <v>0.729243328251</v>
      </c>
      <c r="D675" t="str">
        <f t="shared" si="6"/>
        <v>2014-08</v>
      </c>
      <c r="G675" s="36">
        <v>42358.0</v>
      </c>
      <c r="H675" s="34">
        <v>0.767967439186</v>
      </c>
      <c r="J675" t="str">
        <f t="shared" si="8"/>
        <v>2015-12</v>
      </c>
      <c r="K675" s="44"/>
      <c r="L675" s="46">
        <v>42676.0</v>
      </c>
      <c r="M675" s="4">
        <v>0.651895844979</v>
      </c>
      <c r="O675" t="str">
        <f t="shared" si="10"/>
        <v>2016-11</v>
      </c>
      <c r="AB675" s="36">
        <v>41899.0</v>
      </c>
      <c r="AC675" s="4">
        <v>0.665249594928</v>
      </c>
      <c r="AE675" t="str">
        <f t="shared" si="14"/>
        <v>2014-09</v>
      </c>
      <c r="AG675" s="36">
        <v>42822.0</v>
      </c>
      <c r="AH675" s="4">
        <v>0.573675307571</v>
      </c>
      <c r="AJ675" s="48" t="str">
        <f t="shared" si="16"/>
        <v>2017-03</v>
      </c>
      <c r="AL675" s="36">
        <v>42692.0</v>
      </c>
      <c r="AM675" s="4">
        <v>0.717779739896</v>
      </c>
      <c r="AO675" s="49" t="str">
        <f t="shared" si="18"/>
        <v>2016-11</v>
      </c>
    </row>
    <row r="676">
      <c r="A676" s="36">
        <v>41883.0</v>
      </c>
      <c r="B676" s="34">
        <v>0.669340307356</v>
      </c>
      <c r="D676" t="str">
        <f t="shared" si="6"/>
        <v>2014-09</v>
      </c>
      <c r="G676" s="36">
        <v>42359.0</v>
      </c>
      <c r="H676" s="34">
        <v>0.763865757972</v>
      </c>
      <c r="J676" t="str">
        <f t="shared" si="8"/>
        <v>2015-12</v>
      </c>
      <c r="K676" s="44"/>
      <c r="L676" s="46">
        <v>42677.0</v>
      </c>
      <c r="M676" s="4">
        <v>0.841584338217</v>
      </c>
      <c r="O676" t="str">
        <f t="shared" si="10"/>
        <v>2016-11</v>
      </c>
      <c r="AB676" s="36">
        <v>41905.0</v>
      </c>
      <c r="AC676" s="4">
        <v>0.684642639381</v>
      </c>
      <c r="AE676" t="str">
        <f t="shared" si="14"/>
        <v>2014-09</v>
      </c>
      <c r="AG676" s="36">
        <v>42828.0</v>
      </c>
      <c r="AH676" s="4">
        <v>0.718044835919</v>
      </c>
      <c r="AJ676" s="48" t="str">
        <f t="shared" si="16"/>
        <v>2017-04</v>
      </c>
      <c r="AL676" s="36">
        <v>42699.0</v>
      </c>
      <c r="AM676" s="4">
        <v>0.777867377796</v>
      </c>
      <c r="AO676" s="49" t="str">
        <f t="shared" si="18"/>
        <v>2016-11</v>
      </c>
    </row>
    <row r="677">
      <c r="A677" s="36">
        <v>41889.0</v>
      </c>
      <c r="B677" s="34">
        <v>0.736890568286</v>
      </c>
      <c r="D677" t="str">
        <f t="shared" si="6"/>
        <v>2014-09</v>
      </c>
      <c r="G677" s="36">
        <v>42365.0</v>
      </c>
      <c r="H677" s="34">
        <v>0.715301752954</v>
      </c>
      <c r="J677" t="str">
        <f t="shared" si="8"/>
        <v>2015-12</v>
      </c>
      <c r="K677" s="44"/>
      <c r="L677" s="46">
        <v>42683.0</v>
      </c>
      <c r="M677" s="4">
        <v>0.705554536401</v>
      </c>
      <c r="O677" t="str">
        <f t="shared" si="10"/>
        <v>2016-11</v>
      </c>
      <c r="AB677" s="36">
        <v>41906.0</v>
      </c>
      <c r="AC677" s="4">
        <v>0.646164225377</v>
      </c>
      <c r="AE677" t="str">
        <f t="shared" si="14"/>
        <v>2014-09</v>
      </c>
      <c r="AG677" s="36">
        <v>42829.0</v>
      </c>
      <c r="AH677" s="4">
        <v>0.686455797305</v>
      </c>
      <c r="AJ677" s="48" t="str">
        <f t="shared" si="16"/>
        <v>2017-04</v>
      </c>
      <c r="AL677" s="36">
        <v>42706.0</v>
      </c>
      <c r="AM677" s="4">
        <v>0.741334329152</v>
      </c>
      <c r="AO677" s="49" t="str">
        <f t="shared" si="18"/>
        <v>2016-12</v>
      </c>
    </row>
    <row r="678">
      <c r="A678" s="36">
        <v>41890.0</v>
      </c>
      <c r="B678" s="34">
        <v>0.752557555212</v>
      </c>
      <c r="D678" t="str">
        <f t="shared" si="6"/>
        <v>2014-09</v>
      </c>
      <c r="G678" s="36">
        <v>42366.0</v>
      </c>
      <c r="H678" s="34">
        <v>0.742899604829</v>
      </c>
      <c r="J678" t="str">
        <f t="shared" si="8"/>
        <v>2015-12</v>
      </c>
      <c r="K678" s="44"/>
      <c r="L678" s="46">
        <v>42684.0</v>
      </c>
      <c r="M678" s="4">
        <v>0.554660899518</v>
      </c>
      <c r="O678" t="str">
        <f t="shared" si="10"/>
        <v>2016-11</v>
      </c>
      <c r="AB678" s="36">
        <v>41912.0</v>
      </c>
      <c r="AC678" s="4">
        <v>0.727246092761</v>
      </c>
      <c r="AE678" t="str">
        <f t="shared" si="14"/>
        <v>2014-09</v>
      </c>
      <c r="AG678" s="36">
        <v>42836.0</v>
      </c>
      <c r="AH678" s="4">
        <v>0.680103177679</v>
      </c>
      <c r="AJ678" s="48" t="str">
        <f t="shared" si="16"/>
        <v>2017-04</v>
      </c>
      <c r="AL678" s="36">
        <v>42707.0</v>
      </c>
      <c r="AM678" s="4">
        <v>0.752743597617</v>
      </c>
      <c r="AO678" s="49" t="str">
        <f t="shared" si="18"/>
        <v>2016-12</v>
      </c>
    </row>
    <row r="679">
      <c r="A679" s="36">
        <v>41896.0</v>
      </c>
      <c r="B679" s="34">
        <v>0.726680892534</v>
      </c>
      <c r="D679" t="str">
        <f t="shared" si="6"/>
        <v>2014-09</v>
      </c>
      <c r="G679" s="36">
        <v>42372.0</v>
      </c>
      <c r="H679" s="34">
        <v>0.852264281776</v>
      </c>
      <c r="J679" t="str">
        <f t="shared" si="8"/>
        <v>2016-01</v>
      </c>
      <c r="K679" s="44"/>
      <c r="L679" s="46">
        <v>42690.0</v>
      </c>
      <c r="M679" s="4">
        <v>0.764760581168</v>
      </c>
      <c r="O679" t="str">
        <f t="shared" si="10"/>
        <v>2016-11</v>
      </c>
      <c r="AB679" s="36">
        <v>41913.0</v>
      </c>
      <c r="AC679" s="4">
        <v>0.727596193415</v>
      </c>
      <c r="AE679" t="str">
        <f t="shared" si="14"/>
        <v>2014-10</v>
      </c>
      <c r="AG679" s="36">
        <v>42842.0</v>
      </c>
      <c r="AH679" s="4">
        <v>0.666899143154</v>
      </c>
      <c r="AJ679" s="48" t="str">
        <f t="shared" si="16"/>
        <v>2017-04</v>
      </c>
      <c r="AL679" s="36">
        <v>42713.0</v>
      </c>
      <c r="AM679" s="4">
        <v>0.740338269236</v>
      </c>
      <c r="AO679" s="49" t="str">
        <f t="shared" si="18"/>
        <v>2016-12</v>
      </c>
    </row>
    <row r="680">
      <c r="A680" s="36">
        <v>41897.0</v>
      </c>
      <c r="B680" s="34">
        <v>0.694406738113</v>
      </c>
      <c r="D680" t="str">
        <f t="shared" si="6"/>
        <v>2014-09</v>
      </c>
      <c r="G680" s="36">
        <v>42373.0</v>
      </c>
      <c r="H680" s="34">
        <v>0.80223648188</v>
      </c>
      <c r="J680" t="str">
        <f t="shared" si="8"/>
        <v>2016-01</v>
      </c>
      <c r="K680" s="44"/>
      <c r="L680" s="46">
        <v>42691.0</v>
      </c>
      <c r="M680" s="4">
        <v>0.809564996374</v>
      </c>
      <c r="O680" t="str">
        <f t="shared" si="10"/>
        <v>2016-11</v>
      </c>
      <c r="AB680" s="36">
        <v>41919.0</v>
      </c>
      <c r="AC680" s="4">
        <v>0.711716685714</v>
      </c>
      <c r="AE680" t="str">
        <f t="shared" si="14"/>
        <v>2014-10</v>
      </c>
      <c r="AG680" s="36">
        <v>42843.0</v>
      </c>
      <c r="AH680" s="4">
        <v>0.705433908157</v>
      </c>
      <c r="AJ680" s="48" t="str">
        <f t="shared" si="16"/>
        <v>2017-04</v>
      </c>
      <c r="AL680" s="36">
        <v>42720.0</v>
      </c>
      <c r="AM680" s="4">
        <v>0.765403719776</v>
      </c>
      <c r="AO680" s="49" t="str">
        <f t="shared" si="18"/>
        <v>2016-12</v>
      </c>
    </row>
    <row r="681">
      <c r="A681" s="36">
        <v>41903.0</v>
      </c>
      <c r="B681" s="34">
        <v>0.701996986052</v>
      </c>
      <c r="D681" t="str">
        <f t="shared" si="6"/>
        <v>2014-09</v>
      </c>
      <c r="G681" s="36">
        <v>42379.0</v>
      </c>
      <c r="H681" s="34">
        <v>0.740699418721</v>
      </c>
      <c r="J681" t="str">
        <f t="shared" si="8"/>
        <v>2016-01</v>
      </c>
      <c r="K681" s="44"/>
      <c r="L681" s="46">
        <v>42697.0</v>
      </c>
      <c r="M681" s="4">
        <v>0.75739103728</v>
      </c>
      <c r="O681" t="str">
        <f t="shared" si="10"/>
        <v>2016-11</v>
      </c>
      <c r="AB681" s="36">
        <v>41920.0</v>
      </c>
      <c r="AC681" s="4">
        <v>0.694107536648</v>
      </c>
      <c r="AE681" t="str">
        <f t="shared" si="14"/>
        <v>2014-10</v>
      </c>
      <c r="AG681" s="36">
        <v>42849.0</v>
      </c>
      <c r="AH681" s="4">
        <v>0.679952094243</v>
      </c>
      <c r="AJ681" s="48" t="str">
        <f t="shared" si="16"/>
        <v>2017-04</v>
      </c>
      <c r="AL681" s="36">
        <v>42727.0</v>
      </c>
      <c r="AM681" s="4">
        <v>0.74131055906</v>
      </c>
      <c r="AO681" s="49" t="str">
        <f t="shared" si="18"/>
        <v>2016-12</v>
      </c>
    </row>
    <row r="682">
      <c r="A682" s="36">
        <v>41904.0</v>
      </c>
      <c r="B682" s="34">
        <v>0.726084966026</v>
      </c>
      <c r="D682" t="str">
        <f t="shared" si="6"/>
        <v>2014-09</v>
      </c>
      <c r="G682" s="36">
        <v>42380.0</v>
      </c>
      <c r="H682" s="34">
        <v>0.737002439331</v>
      </c>
      <c r="J682" t="str">
        <f t="shared" si="8"/>
        <v>2016-01</v>
      </c>
      <c r="K682" s="44"/>
      <c r="L682" s="46">
        <v>42698.0</v>
      </c>
      <c r="M682" s="4">
        <v>0.476650802544</v>
      </c>
      <c r="O682" t="str">
        <f t="shared" si="10"/>
        <v>2016-11</v>
      </c>
      <c r="AB682" s="36">
        <v>41926.0</v>
      </c>
      <c r="AC682" s="4">
        <v>0.763356990852</v>
      </c>
      <c r="AE682" t="str">
        <f t="shared" si="14"/>
        <v>2014-10</v>
      </c>
      <c r="AG682" s="36">
        <v>42850.0</v>
      </c>
      <c r="AH682" s="4">
        <v>0.680139336466</v>
      </c>
      <c r="AJ682" s="48" t="str">
        <f t="shared" si="16"/>
        <v>2017-04</v>
      </c>
      <c r="AL682" s="36">
        <v>42728.0</v>
      </c>
      <c r="AM682" s="4">
        <v>0.591885654595</v>
      </c>
      <c r="AO682" s="49" t="str">
        <f t="shared" si="18"/>
        <v>2016-12</v>
      </c>
    </row>
    <row r="683">
      <c r="A683" s="36">
        <v>41910.0</v>
      </c>
      <c r="B683" s="34">
        <v>0.711949819941</v>
      </c>
      <c r="D683" t="str">
        <f t="shared" si="6"/>
        <v>2014-09</v>
      </c>
      <c r="G683" s="36">
        <v>42386.0</v>
      </c>
      <c r="H683" s="34">
        <v>0.787050810734</v>
      </c>
      <c r="J683" t="str">
        <f t="shared" si="8"/>
        <v>2016-01</v>
      </c>
      <c r="K683" s="44"/>
      <c r="L683" s="46">
        <v>42704.0</v>
      </c>
      <c r="M683" s="4">
        <v>0.71586889989</v>
      </c>
      <c r="O683" t="str">
        <f t="shared" si="10"/>
        <v>2016-11</v>
      </c>
      <c r="AB683" s="36">
        <v>41927.0</v>
      </c>
      <c r="AC683" s="4">
        <v>0.79332013242</v>
      </c>
      <c r="AE683" t="str">
        <f t="shared" si="14"/>
        <v>2014-10</v>
      </c>
      <c r="AG683" s="36">
        <v>42856.0</v>
      </c>
      <c r="AH683" s="4">
        <v>0.643706034614</v>
      </c>
      <c r="AJ683" s="48" t="str">
        <f t="shared" si="16"/>
        <v>2017-05</v>
      </c>
      <c r="AL683" s="36">
        <v>42734.0</v>
      </c>
      <c r="AM683" s="4">
        <v>0.758966512519</v>
      </c>
      <c r="AO683" s="49" t="str">
        <f t="shared" si="18"/>
        <v>2016-12</v>
      </c>
    </row>
    <row r="684">
      <c r="A684" s="36">
        <v>41911.0</v>
      </c>
      <c r="B684" s="34">
        <v>0.665032344132</v>
      </c>
      <c r="D684" t="str">
        <f t="shared" si="6"/>
        <v>2014-09</v>
      </c>
      <c r="G684" s="36">
        <v>42387.0</v>
      </c>
      <c r="H684" s="34">
        <v>0.71715527723</v>
      </c>
      <c r="J684" t="str">
        <f t="shared" si="8"/>
        <v>2016-01</v>
      </c>
      <c r="K684" s="44"/>
      <c r="L684" s="46">
        <v>42705.0</v>
      </c>
      <c r="M684" s="4">
        <v>0.749164393566</v>
      </c>
      <c r="O684" t="str">
        <f t="shared" si="10"/>
        <v>2016-12</v>
      </c>
      <c r="AB684" s="36">
        <v>41933.0</v>
      </c>
      <c r="AC684" s="4">
        <v>0.697115238554</v>
      </c>
      <c r="AE684" t="str">
        <f t="shared" si="14"/>
        <v>2014-10</v>
      </c>
      <c r="AG684" s="36">
        <v>42857.0</v>
      </c>
      <c r="AH684" s="4">
        <v>0.669993536278</v>
      </c>
      <c r="AJ684" s="48" t="str">
        <f t="shared" si="16"/>
        <v>2017-05</v>
      </c>
      <c r="AL684" s="36">
        <v>42735.0</v>
      </c>
      <c r="AM684" s="4">
        <v>0.727853022875</v>
      </c>
      <c r="AO684" s="49" t="str">
        <f t="shared" si="18"/>
        <v>2016-12</v>
      </c>
    </row>
    <row r="685">
      <c r="A685" s="36">
        <v>41917.0</v>
      </c>
      <c r="B685" s="34">
        <v>0.717942657652</v>
      </c>
      <c r="D685" t="str">
        <f t="shared" si="6"/>
        <v>2014-10</v>
      </c>
      <c r="G685" s="36">
        <v>42393.0</v>
      </c>
      <c r="H685" s="34">
        <v>0.733986830517</v>
      </c>
      <c r="J685" t="str">
        <f t="shared" si="8"/>
        <v>2016-01</v>
      </c>
      <c r="K685" s="44"/>
      <c r="L685" s="46">
        <v>42711.0</v>
      </c>
      <c r="M685" s="4">
        <v>0.807726367691</v>
      </c>
      <c r="O685" t="str">
        <f t="shared" si="10"/>
        <v>2016-12</v>
      </c>
      <c r="AB685" s="36">
        <v>41934.0</v>
      </c>
      <c r="AC685" s="4">
        <v>0.678777973712</v>
      </c>
      <c r="AE685" t="str">
        <f t="shared" si="14"/>
        <v>2014-10</v>
      </c>
      <c r="AG685" s="36">
        <v>42863.0</v>
      </c>
      <c r="AH685" s="4">
        <v>0.776093576971</v>
      </c>
      <c r="AJ685" s="48" t="str">
        <f t="shared" si="16"/>
        <v>2017-05</v>
      </c>
      <c r="AL685" s="36">
        <v>42741.0</v>
      </c>
      <c r="AM685" s="4">
        <v>0.726243636939</v>
      </c>
      <c r="AO685" s="49" t="str">
        <f t="shared" si="18"/>
        <v>2017-01</v>
      </c>
    </row>
    <row r="686">
      <c r="A686" s="36">
        <v>41918.0</v>
      </c>
      <c r="B686" s="34">
        <v>0.685065890658</v>
      </c>
      <c r="D686" t="str">
        <f t="shared" si="6"/>
        <v>2014-10</v>
      </c>
      <c r="G686" s="36">
        <v>42394.0</v>
      </c>
      <c r="H686" s="34">
        <v>0.653338462381</v>
      </c>
      <c r="J686" t="str">
        <f t="shared" si="8"/>
        <v>2016-01</v>
      </c>
      <c r="K686" s="44"/>
      <c r="L686" s="46">
        <v>42718.0</v>
      </c>
      <c r="M686" s="4">
        <v>0.75406575639</v>
      </c>
      <c r="O686" t="str">
        <f t="shared" si="10"/>
        <v>2016-12</v>
      </c>
      <c r="AB686" s="36">
        <v>41940.0</v>
      </c>
      <c r="AC686" s="4">
        <v>0.739957837788</v>
      </c>
      <c r="AE686" t="str">
        <f t="shared" si="14"/>
        <v>2014-10</v>
      </c>
      <c r="AG686" s="36">
        <v>42864.0</v>
      </c>
      <c r="AH686" s="4">
        <v>0.735757855058</v>
      </c>
      <c r="AJ686" s="48" t="str">
        <f t="shared" si="16"/>
        <v>2017-05</v>
      </c>
      <c r="AL686" s="36">
        <v>42742.0</v>
      </c>
      <c r="AM686" s="4">
        <v>0.569317971358</v>
      </c>
      <c r="AO686" s="49" t="str">
        <f t="shared" si="18"/>
        <v>2017-01</v>
      </c>
    </row>
    <row r="687">
      <c r="A687" s="36">
        <v>41924.0</v>
      </c>
      <c r="B687" s="34">
        <v>0.660300394338</v>
      </c>
      <c r="D687" t="str">
        <f t="shared" si="6"/>
        <v>2014-10</v>
      </c>
      <c r="G687" s="36">
        <v>42400.0</v>
      </c>
      <c r="H687" s="34">
        <v>0.753893956135</v>
      </c>
      <c r="J687" t="str">
        <f t="shared" si="8"/>
        <v>2016-01</v>
      </c>
      <c r="K687" s="44"/>
      <c r="L687" s="46">
        <v>42719.0</v>
      </c>
      <c r="M687" s="4">
        <v>0.618887880607</v>
      </c>
      <c r="O687" t="str">
        <f t="shared" si="10"/>
        <v>2016-12</v>
      </c>
      <c r="AB687" s="36">
        <v>41941.0</v>
      </c>
      <c r="AC687" s="4">
        <v>0.640617039255</v>
      </c>
      <c r="AE687" t="str">
        <f t="shared" si="14"/>
        <v>2014-10</v>
      </c>
      <c r="AG687" s="36">
        <v>42870.0</v>
      </c>
      <c r="AH687" s="4">
        <v>0.754706776931</v>
      </c>
      <c r="AJ687" s="48" t="str">
        <f t="shared" si="16"/>
        <v>2017-05</v>
      </c>
      <c r="AL687" s="36">
        <v>42748.0</v>
      </c>
      <c r="AM687" s="4">
        <v>0.724053883113</v>
      </c>
      <c r="AO687" s="49" t="str">
        <f t="shared" si="18"/>
        <v>2017-01</v>
      </c>
    </row>
    <row r="688">
      <c r="A688" s="36">
        <v>41925.0</v>
      </c>
      <c r="B688" s="34">
        <v>0.70410500956</v>
      </c>
      <c r="D688" t="str">
        <f t="shared" si="6"/>
        <v>2014-10</v>
      </c>
      <c r="G688" s="36">
        <v>42401.0</v>
      </c>
      <c r="H688" s="34">
        <v>0.732539869328</v>
      </c>
      <c r="J688" t="str">
        <f t="shared" si="8"/>
        <v>2016-02</v>
      </c>
      <c r="K688" s="44"/>
      <c r="L688" s="46">
        <v>42725.0</v>
      </c>
      <c r="M688" s="4">
        <v>0.660662668185</v>
      </c>
      <c r="O688" t="str">
        <f t="shared" si="10"/>
        <v>2016-12</v>
      </c>
      <c r="AB688" s="36">
        <v>41947.0</v>
      </c>
      <c r="AC688" s="4">
        <v>0.703500052338</v>
      </c>
      <c r="AE688" t="str">
        <f t="shared" si="14"/>
        <v>2014-11</v>
      </c>
      <c r="AG688" s="36">
        <v>42871.0</v>
      </c>
      <c r="AH688" s="4">
        <v>0.771301243697</v>
      </c>
      <c r="AJ688" s="48" t="str">
        <f t="shared" si="16"/>
        <v>2017-05</v>
      </c>
      <c r="AL688" s="36">
        <v>42755.0</v>
      </c>
      <c r="AM688" s="4">
        <v>0.74647878239</v>
      </c>
      <c r="AO688" s="49" t="str">
        <f t="shared" si="18"/>
        <v>2017-01</v>
      </c>
    </row>
    <row r="689">
      <c r="A689" s="36">
        <v>41931.0</v>
      </c>
      <c r="B689" s="34">
        <v>0.679333356337</v>
      </c>
      <c r="D689" t="str">
        <f t="shared" si="6"/>
        <v>2014-10</v>
      </c>
      <c r="G689" s="36">
        <v>42407.0</v>
      </c>
      <c r="H689" s="34">
        <v>0.735286677265</v>
      </c>
      <c r="J689" t="str">
        <f t="shared" si="8"/>
        <v>2016-02</v>
      </c>
      <c r="K689" s="44"/>
      <c r="L689" s="46">
        <v>42726.0</v>
      </c>
      <c r="M689" s="4">
        <v>0.881837529133</v>
      </c>
      <c r="O689" t="str">
        <f t="shared" si="10"/>
        <v>2016-12</v>
      </c>
      <c r="AB689" s="36">
        <v>41948.0</v>
      </c>
      <c r="AC689" s="4">
        <v>0.873532002785</v>
      </c>
      <c r="AE689" t="str">
        <f t="shared" si="14"/>
        <v>2014-11</v>
      </c>
      <c r="AG689" s="36">
        <v>42877.0</v>
      </c>
      <c r="AH689" s="4">
        <v>0.722144718047</v>
      </c>
      <c r="AJ689" s="48" t="str">
        <f t="shared" si="16"/>
        <v>2017-05</v>
      </c>
      <c r="AL689" s="36">
        <v>42756.0</v>
      </c>
      <c r="AM689" s="4">
        <v>0.617213133704</v>
      </c>
      <c r="AO689" s="49" t="str">
        <f t="shared" si="18"/>
        <v>2017-01</v>
      </c>
    </row>
    <row r="690">
      <c r="A690" s="36">
        <v>41932.0</v>
      </c>
      <c r="B690" s="34">
        <v>0.65898219541</v>
      </c>
      <c r="D690" t="str">
        <f t="shared" si="6"/>
        <v>2014-10</v>
      </c>
      <c r="G690" s="36">
        <v>42408.0</v>
      </c>
      <c r="H690" s="34">
        <v>0.722907260209</v>
      </c>
      <c r="J690" t="str">
        <f t="shared" si="8"/>
        <v>2016-02</v>
      </c>
      <c r="K690" s="44"/>
      <c r="L690" s="46">
        <v>42731.0</v>
      </c>
      <c r="M690" s="4">
        <v>0.771453770329</v>
      </c>
      <c r="O690" t="str">
        <f t="shared" si="10"/>
        <v>2016-12</v>
      </c>
      <c r="AB690" s="36">
        <v>41954.0</v>
      </c>
      <c r="AC690" s="4">
        <v>0.743084820488</v>
      </c>
      <c r="AE690" t="str">
        <f t="shared" si="14"/>
        <v>2014-11</v>
      </c>
      <c r="AG690" s="36">
        <v>42878.0</v>
      </c>
      <c r="AH690" s="4">
        <v>0.688077047985</v>
      </c>
      <c r="AJ690" s="48" t="str">
        <f t="shared" si="16"/>
        <v>2017-05</v>
      </c>
      <c r="AL690" s="36">
        <v>42762.0</v>
      </c>
      <c r="AM690" s="4">
        <v>0.747652083184</v>
      </c>
      <c r="AO690" s="49" t="str">
        <f t="shared" si="18"/>
        <v>2017-01</v>
      </c>
    </row>
    <row r="691">
      <c r="A691" s="36">
        <v>41938.0</v>
      </c>
      <c r="B691" s="34">
        <v>0.718798194941</v>
      </c>
      <c r="D691" t="str">
        <f t="shared" si="6"/>
        <v>2014-10</v>
      </c>
      <c r="G691" s="36">
        <v>42414.0</v>
      </c>
      <c r="H691" s="34">
        <v>0.686380562985</v>
      </c>
      <c r="J691" t="str">
        <f t="shared" si="8"/>
        <v>2016-02</v>
      </c>
      <c r="K691" s="44"/>
      <c r="L691" s="46">
        <v>42732.0</v>
      </c>
      <c r="M691" s="4">
        <v>0.757459666019</v>
      </c>
      <c r="O691" t="str">
        <f t="shared" si="10"/>
        <v>2016-12</v>
      </c>
      <c r="AB691" s="36">
        <v>41955.0</v>
      </c>
      <c r="AC691" s="4">
        <v>0.694670805526</v>
      </c>
      <c r="AE691" t="str">
        <f t="shared" si="14"/>
        <v>2014-11</v>
      </c>
      <c r="AG691" s="36">
        <v>42884.0</v>
      </c>
      <c r="AH691" s="4">
        <v>0.685644776614</v>
      </c>
      <c r="AJ691" s="48" t="str">
        <f t="shared" si="16"/>
        <v>2017-05</v>
      </c>
      <c r="AL691" s="36">
        <v>42769.0</v>
      </c>
      <c r="AM691" s="4">
        <v>0.780318064758</v>
      </c>
      <c r="AO691" s="49" t="str">
        <f t="shared" si="18"/>
        <v>2017-02</v>
      </c>
    </row>
    <row r="692">
      <c r="A692" s="36">
        <v>41939.0</v>
      </c>
      <c r="B692" s="34">
        <v>0.733637528213</v>
      </c>
      <c r="D692" t="str">
        <f t="shared" si="6"/>
        <v>2014-10</v>
      </c>
      <c r="G692" s="36">
        <v>42415.0</v>
      </c>
      <c r="H692" s="34">
        <v>0.785605459891</v>
      </c>
      <c r="J692" t="str">
        <f t="shared" si="8"/>
        <v>2016-02</v>
      </c>
      <c r="K692" s="44"/>
      <c r="L692" s="46">
        <v>42739.0</v>
      </c>
      <c r="M692" s="4">
        <v>0.705239180432</v>
      </c>
      <c r="O692" t="str">
        <f t="shared" si="10"/>
        <v>2017-01</v>
      </c>
      <c r="AB692" s="36">
        <v>41961.0</v>
      </c>
      <c r="AC692" s="4">
        <v>0.688301692219</v>
      </c>
      <c r="AE692" t="str">
        <f t="shared" si="14"/>
        <v>2014-11</v>
      </c>
      <c r="AG692" s="36">
        <v>42885.0</v>
      </c>
      <c r="AH692" s="4">
        <v>0.726868390232</v>
      </c>
      <c r="AJ692" s="48" t="str">
        <f t="shared" si="16"/>
        <v>2017-05</v>
      </c>
      <c r="AL692" s="36">
        <v>42770.0</v>
      </c>
      <c r="AM692" s="4">
        <v>0.841854579628</v>
      </c>
      <c r="AO692" s="49" t="str">
        <f t="shared" si="18"/>
        <v>2017-02</v>
      </c>
    </row>
    <row r="693">
      <c r="A693" s="36">
        <v>41946.0</v>
      </c>
      <c r="B693" s="34">
        <v>0.783534919013</v>
      </c>
      <c r="D693" t="str">
        <f t="shared" si="6"/>
        <v>2014-11</v>
      </c>
      <c r="G693" s="36">
        <v>42421.0</v>
      </c>
      <c r="H693" s="34">
        <v>0.720249691389</v>
      </c>
      <c r="J693" t="str">
        <f t="shared" si="8"/>
        <v>2016-02</v>
      </c>
      <c r="K693" s="44"/>
      <c r="L693" s="46">
        <v>42740.0</v>
      </c>
      <c r="M693" s="4">
        <v>0.74143364026</v>
      </c>
      <c r="O693" t="str">
        <f t="shared" si="10"/>
        <v>2017-01</v>
      </c>
      <c r="AB693" s="36">
        <v>41962.0</v>
      </c>
      <c r="AC693" s="4">
        <v>0.656622793407</v>
      </c>
      <c r="AE693" t="str">
        <f t="shared" si="14"/>
        <v>2014-11</v>
      </c>
      <c r="AG693" s="36">
        <v>42891.0</v>
      </c>
      <c r="AH693" s="4">
        <v>0.728853471267</v>
      </c>
      <c r="AJ693" s="48" t="str">
        <f t="shared" si="16"/>
        <v>2017-06</v>
      </c>
      <c r="AL693" s="36">
        <v>42776.0</v>
      </c>
      <c r="AM693" s="4">
        <v>0.713939143664</v>
      </c>
      <c r="AO693" s="49" t="str">
        <f t="shared" si="18"/>
        <v>2017-02</v>
      </c>
    </row>
    <row r="694">
      <c r="A694" s="36">
        <v>41952.0</v>
      </c>
      <c r="B694" s="34">
        <v>0.718843675769</v>
      </c>
      <c r="D694" t="str">
        <f t="shared" si="6"/>
        <v>2014-11</v>
      </c>
      <c r="G694" s="36">
        <v>42422.0</v>
      </c>
      <c r="H694" s="34">
        <v>0.680711690948</v>
      </c>
      <c r="J694" t="str">
        <f t="shared" si="8"/>
        <v>2016-02</v>
      </c>
      <c r="K694" s="44"/>
      <c r="L694" s="46">
        <v>42746.0</v>
      </c>
      <c r="M694" s="4">
        <v>0.744413482111</v>
      </c>
      <c r="O694" t="str">
        <f t="shared" si="10"/>
        <v>2017-01</v>
      </c>
      <c r="AB694" s="36">
        <v>41968.0</v>
      </c>
      <c r="AC694" s="4">
        <v>0.705593036598</v>
      </c>
      <c r="AE694" t="str">
        <f t="shared" si="14"/>
        <v>2014-11</v>
      </c>
      <c r="AG694" s="36">
        <v>42892.0</v>
      </c>
      <c r="AH694" s="4">
        <v>0.631927461027</v>
      </c>
      <c r="AJ694" s="48" t="str">
        <f t="shared" si="16"/>
        <v>2017-06</v>
      </c>
      <c r="AL694" s="36">
        <v>42783.0</v>
      </c>
      <c r="AM694" s="4">
        <v>0.740818377671</v>
      </c>
      <c r="AO694" s="49" t="str">
        <f t="shared" si="18"/>
        <v>2017-02</v>
      </c>
    </row>
    <row r="695">
      <c r="A695" s="36">
        <v>41953.0</v>
      </c>
      <c r="B695" s="34">
        <v>0.772342454314</v>
      </c>
      <c r="D695" t="str">
        <f t="shared" si="6"/>
        <v>2014-11</v>
      </c>
      <c r="G695" s="36">
        <v>42428.0</v>
      </c>
      <c r="H695" s="34">
        <v>0.671591202535</v>
      </c>
      <c r="J695" t="str">
        <f t="shared" si="8"/>
        <v>2016-02</v>
      </c>
      <c r="K695" s="44"/>
      <c r="L695" s="46">
        <v>42747.0</v>
      </c>
      <c r="M695" s="4">
        <v>0.848300912571</v>
      </c>
      <c r="O695" t="str">
        <f t="shared" si="10"/>
        <v>2017-01</v>
      </c>
      <c r="AB695" s="36">
        <v>41969.0</v>
      </c>
      <c r="AC695" s="4">
        <v>0.613640648359</v>
      </c>
      <c r="AE695" t="str">
        <f t="shared" si="14"/>
        <v>2014-11</v>
      </c>
      <c r="AG695" s="36">
        <v>42899.0</v>
      </c>
      <c r="AH695" s="4">
        <v>0.658339688451</v>
      </c>
      <c r="AJ695" s="48" t="str">
        <f t="shared" si="16"/>
        <v>2017-06</v>
      </c>
      <c r="AL695" s="36">
        <v>42784.0</v>
      </c>
      <c r="AM695" s="4">
        <v>0.861925817439</v>
      </c>
      <c r="AO695" s="49" t="str">
        <f t="shared" si="18"/>
        <v>2017-02</v>
      </c>
    </row>
    <row r="696">
      <c r="A696" s="36">
        <v>41959.0</v>
      </c>
      <c r="B696" s="34">
        <v>0.664291270285</v>
      </c>
      <c r="D696" t="str">
        <f t="shared" si="6"/>
        <v>2014-11</v>
      </c>
      <c r="G696" s="36">
        <v>42429.0</v>
      </c>
      <c r="H696" s="34">
        <v>0.719599933623</v>
      </c>
      <c r="J696" t="str">
        <f t="shared" si="8"/>
        <v>2016-02</v>
      </c>
      <c r="K696" s="44"/>
      <c r="L696" s="46">
        <v>42752.0</v>
      </c>
      <c r="M696" s="4">
        <v>0.475130401925</v>
      </c>
      <c r="O696" t="str">
        <f t="shared" si="10"/>
        <v>2017-01</v>
      </c>
      <c r="AB696" s="36">
        <v>41975.0</v>
      </c>
      <c r="AC696" s="4">
        <v>0.653075870552</v>
      </c>
      <c r="AE696" t="str">
        <f t="shared" si="14"/>
        <v>2014-12</v>
      </c>
      <c r="AG696" s="36">
        <v>42905.0</v>
      </c>
      <c r="AH696" s="4">
        <v>0.735688089044</v>
      </c>
      <c r="AJ696" s="48" t="str">
        <f t="shared" si="16"/>
        <v>2017-06</v>
      </c>
      <c r="AL696" s="36">
        <v>42790.0</v>
      </c>
      <c r="AM696" s="4">
        <v>0.742430251804</v>
      </c>
      <c r="AO696" s="49" t="str">
        <f t="shared" si="18"/>
        <v>2017-02</v>
      </c>
    </row>
    <row r="697">
      <c r="A697" s="36">
        <v>41960.0</v>
      </c>
      <c r="B697" s="34">
        <v>0.729321635289</v>
      </c>
      <c r="D697" t="str">
        <f t="shared" si="6"/>
        <v>2014-11</v>
      </c>
      <c r="G697" s="36">
        <v>42435.0</v>
      </c>
      <c r="H697" s="34">
        <v>0.775885057829</v>
      </c>
      <c r="J697" t="str">
        <f t="shared" si="8"/>
        <v>2016-03</v>
      </c>
      <c r="K697" s="44"/>
      <c r="L697" s="46">
        <v>42753.0</v>
      </c>
      <c r="M697" s="4">
        <v>0.745788090139</v>
      </c>
      <c r="O697" t="str">
        <f t="shared" si="10"/>
        <v>2017-01</v>
      </c>
      <c r="AB697" s="36">
        <v>41976.0</v>
      </c>
      <c r="AC697" s="4">
        <v>0.602738367829</v>
      </c>
      <c r="AE697" t="str">
        <f t="shared" si="14"/>
        <v>2014-12</v>
      </c>
      <c r="AG697" s="36">
        <v>42906.0</v>
      </c>
      <c r="AH697" s="4">
        <v>0.703498485532</v>
      </c>
      <c r="AJ697" s="48" t="str">
        <f t="shared" si="16"/>
        <v>2017-06</v>
      </c>
      <c r="AL697" s="36">
        <v>42791.0</v>
      </c>
      <c r="AM697" s="4">
        <v>0.355411340587</v>
      </c>
      <c r="AO697" s="49" t="str">
        <f t="shared" si="18"/>
        <v>2017-02</v>
      </c>
    </row>
    <row r="698">
      <c r="A698" s="36">
        <v>41966.0</v>
      </c>
      <c r="B698" s="34">
        <v>0.727534041524</v>
      </c>
      <c r="D698" t="str">
        <f t="shared" si="6"/>
        <v>2014-11</v>
      </c>
      <c r="G698" s="36">
        <v>42436.0</v>
      </c>
      <c r="H698" s="34">
        <v>0.740195689885</v>
      </c>
      <c r="J698" t="str">
        <f t="shared" si="8"/>
        <v>2016-03</v>
      </c>
      <c r="K698" s="44"/>
      <c r="L698" s="46">
        <v>42759.0</v>
      </c>
      <c r="M698" s="4">
        <v>0.89675071525</v>
      </c>
      <c r="O698" t="str">
        <f t="shared" si="10"/>
        <v>2017-01</v>
      </c>
      <c r="AB698" s="36">
        <v>41982.0</v>
      </c>
      <c r="AC698" s="4">
        <v>0.700690389715</v>
      </c>
      <c r="AE698" t="str">
        <f t="shared" si="14"/>
        <v>2014-12</v>
      </c>
      <c r="AG698" s="36">
        <v>42912.0</v>
      </c>
      <c r="AH698" s="4">
        <v>0.687753725786</v>
      </c>
      <c r="AJ698" s="48" t="str">
        <f t="shared" si="16"/>
        <v>2017-06</v>
      </c>
      <c r="AL698" s="36">
        <v>42797.0</v>
      </c>
      <c r="AM698" s="4">
        <v>0.737179425464</v>
      </c>
      <c r="AO698" s="49" t="str">
        <f t="shared" si="18"/>
        <v>2017-03</v>
      </c>
    </row>
    <row r="699">
      <c r="A699" s="36">
        <v>41967.0</v>
      </c>
      <c r="B699" s="34">
        <v>0.611313142365</v>
      </c>
      <c r="D699" t="str">
        <f t="shared" si="6"/>
        <v>2014-11</v>
      </c>
      <c r="G699" s="36">
        <v>42442.0</v>
      </c>
      <c r="H699" s="34">
        <v>0.713100432106</v>
      </c>
      <c r="J699" t="str">
        <f t="shared" si="8"/>
        <v>2016-03</v>
      </c>
      <c r="K699" s="44"/>
      <c r="L699" s="46">
        <v>42760.0</v>
      </c>
      <c r="M699" s="4">
        <v>0.716002016568</v>
      </c>
      <c r="O699" t="str">
        <f t="shared" si="10"/>
        <v>2017-01</v>
      </c>
      <c r="AB699" s="36">
        <v>41983.0</v>
      </c>
      <c r="AC699" s="4">
        <v>0.761730501424</v>
      </c>
      <c r="AE699" t="str">
        <f t="shared" si="14"/>
        <v>2014-12</v>
      </c>
      <c r="AG699" s="36">
        <v>42913.0</v>
      </c>
      <c r="AH699" s="4">
        <v>0.745855850698</v>
      </c>
      <c r="AJ699" s="48" t="str">
        <f t="shared" si="16"/>
        <v>2017-06</v>
      </c>
      <c r="AL699" s="36">
        <v>42798.0</v>
      </c>
      <c r="AM699" s="4">
        <v>0.653773802903</v>
      </c>
      <c r="AO699" s="49" t="str">
        <f t="shared" si="18"/>
        <v>2017-03</v>
      </c>
    </row>
    <row r="700">
      <c r="A700" s="36">
        <v>41973.0</v>
      </c>
      <c r="B700" s="34">
        <v>0.682384214358</v>
      </c>
      <c r="D700" t="str">
        <f t="shared" si="6"/>
        <v>2014-11</v>
      </c>
      <c r="G700" s="36">
        <v>42443.0</v>
      </c>
      <c r="H700" s="34">
        <v>0.772518680892</v>
      </c>
      <c r="J700" t="str">
        <f t="shared" si="8"/>
        <v>2016-03</v>
      </c>
      <c r="K700" s="44"/>
      <c r="L700" s="46">
        <v>42766.0</v>
      </c>
      <c r="M700" s="4">
        <v>0.787078827774</v>
      </c>
      <c r="O700" t="str">
        <f t="shared" si="10"/>
        <v>2017-01</v>
      </c>
      <c r="AB700" s="36">
        <v>41989.0</v>
      </c>
      <c r="AC700" s="4">
        <v>0.720309642888</v>
      </c>
      <c r="AE700" t="str">
        <f t="shared" si="14"/>
        <v>2014-12</v>
      </c>
      <c r="AG700" s="36">
        <v>42919.0</v>
      </c>
      <c r="AH700" s="4">
        <v>0.637001476845</v>
      </c>
      <c r="AJ700" s="48" t="str">
        <f t="shared" si="16"/>
        <v>2017-07</v>
      </c>
      <c r="AL700" s="36">
        <v>42804.0</v>
      </c>
      <c r="AM700" s="4">
        <v>0.737840275975</v>
      </c>
      <c r="AO700" s="49" t="str">
        <f t="shared" si="18"/>
        <v>2017-03</v>
      </c>
    </row>
    <row r="701">
      <c r="A701" s="36">
        <v>41974.0</v>
      </c>
      <c r="B701" s="34">
        <v>0.759803115084</v>
      </c>
      <c r="D701" t="str">
        <f t="shared" si="6"/>
        <v>2014-12</v>
      </c>
      <c r="G701" s="36">
        <v>42449.0</v>
      </c>
      <c r="H701" s="34">
        <v>0.740111099415</v>
      </c>
      <c r="J701" t="str">
        <f t="shared" si="8"/>
        <v>2016-03</v>
      </c>
      <c r="K701" s="44"/>
      <c r="L701" s="46">
        <v>42767.0</v>
      </c>
      <c r="M701" s="4">
        <v>0.778370461814</v>
      </c>
      <c r="O701" t="str">
        <f t="shared" si="10"/>
        <v>2017-02</v>
      </c>
      <c r="AB701" s="36">
        <v>41990.0</v>
      </c>
      <c r="AC701" s="4">
        <v>0.692900391206</v>
      </c>
      <c r="AE701" t="str">
        <f t="shared" si="14"/>
        <v>2014-12</v>
      </c>
      <c r="AG701" s="36">
        <v>42920.0</v>
      </c>
      <c r="AH701" s="4">
        <v>0.650432869076</v>
      </c>
      <c r="AJ701" s="48" t="str">
        <f t="shared" si="16"/>
        <v>2017-07</v>
      </c>
      <c r="AL701" s="36">
        <v>42805.0</v>
      </c>
      <c r="AM701" s="4">
        <v>0.708170265311</v>
      </c>
      <c r="AO701" s="49" t="str">
        <f t="shared" si="18"/>
        <v>2017-03</v>
      </c>
    </row>
    <row r="702">
      <c r="A702" s="36">
        <v>41980.0</v>
      </c>
      <c r="B702" s="34">
        <v>0.725117408642</v>
      </c>
      <c r="D702" t="str">
        <f t="shared" si="6"/>
        <v>2014-12</v>
      </c>
      <c r="G702" s="36">
        <v>42450.0</v>
      </c>
      <c r="H702" s="34">
        <v>0.686945565234</v>
      </c>
      <c r="J702" t="str">
        <f t="shared" si="8"/>
        <v>2016-03</v>
      </c>
      <c r="K702" s="44"/>
      <c r="L702" s="46">
        <v>42768.0</v>
      </c>
      <c r="M702" s="4">
        <v>0.816767028055</v>
      </c>
      <c r="O702" t="str">
        <f t="shared" si="10"/>
        <v>2017-02</v>
      </c>
      <c r="AB702" s="36">
        <v>41996.0</v>
      </c>
      <c r="AC702" s="4">
        <v>0.706749488932</v>
      </c>
      <c r="AE702" t="str">
        <f t="shared" si="14"/>
        <v>2014-12</v>
      </c>
      <c r="AG702" s="36">
        <v>42926.0</v>
      </c>
      <c r="AH702" s="4">
        <v>0.746383318339</v>
      </c>
      <c r="AJ702" s="48" t="str">
        <f t="shared" si="16"/>
        <v>2017-07</v>
      </c>
      <c r="AL702" s="36">
        <v>42811.0</v>
      </c>
      <c r="AM702" s="4">
        <v>0.781376702552</v>
      </c>
      <c r="AO702" s="49" t="str">
        <f t="shared" si="18"/>
        <v>2017-03</v>
      </c>
    </row>
    <row r="703">
      <c r="A703" s="36">
        <v>41981.0</v>
      </c>
      <c r="B703" s="34">
        <v>0.698046272984</v>
      </c>
      <c r="D703" t="str">
        <f t="shared" si="6"/>
        <v>2014-12</v>
      </c>
      <c r="G703" s="36">
        <v>42456.0</v>
      </c>
      <c r="H703" s="34">
        <v>0.695041166494</v>
      </c>
      <c r="J703" t="str">
        <f t="shared" si="8"/>
        <v>2016-03</v>
      </c>
      <c r="K703" s="44"/>
      <c r="L703" s="46">
        <v>42773.0</v>
      </c>
      <c r="M703" s="4">
        <v>0.793893707521</v>
      </c>
      <c r="O703" t="str">
        <f t="shared" si="10"/>
        <v>2017-02</v>
      </c>
      <c r="AB703" s="36">
        <v>41997.0</v>
      </c>
      <c r="AC703" s="4">
        <v>0.676873614408</v>
      </c>
      <c r="AE703" t="str">
        <f t="shared" si="14"/>
        <v>2014-12</v>
      </c>
      <c r="AG703" s="36">
        <v>42927.0</v>
      </c>
      <c r="AH703" s="4">
        <v>0.72109091941</v>
      </c>
      <c r="AJ703" s="48" t="str">
        <f t="shared" si="16"/>
        <v>2017-07</v>
      </c>
      <c r="AL703" s="36">
        <v>42812.0</v>
      </c>
      <c r="AM703" s="4">
        <v>0.657731611078</v>
      </c>
      <c r="AO703" s="49" t="str">
        <f t="shared" si="18"/>
        <v>2017-03</v>
      </c>
    </row>
    <row r="704">
      <c r="A704" s="36">
        <v>41987.0</v>
      </c>
      <c r="B704" s="34">
        <v>0.687482907625</v>
      </c>
      <c r="D704" t="str">
        <f t="shared" si="6"/>
        <v>2014-12</v>
      </c>
      <c r="G704" s="36">
        <v>42457.0</v>
      </c>
      <c r="H704" s="34">
        <v>0.743357224923</v>
      </c>
      <c r="J704" t="str">
        <f t="shared" si="8"/>
        <v>2016-03</v>
      </c>
      <c r="K704" s="44"/>
      <c r="L704" s="46">
        <v>42774.0</v>
      </c>
      <c r="M704" s="4">
        <v>0.705252651402</v>
      </c>
      <c r="O704" t="str">
        <f t="shared" si="10"/>
        <v>2017-02</v>
      </c>
      <c r="AB704" s="36">
        <v>42003.0</v>
      </c>
      <c r="AC704" s="4">
        <v>0.699001051254</v>
      </c>
      <c r="AE704" t="str">
        <f t="shared" si="14"/>
        <v>2014-12</v>
      </c>
      <c r="AG704" s="36">
        <v>42934.0</v>
      </c>
      <c r="AH704" s="4">
        <v>0.681039522839</v>
      </c>
      <c r="AJ704" s="48" t="str">
        <f t="shared" si="16"/>
        <v>2017-07</v>
      </c>
      <c r="AL704" s="36">
        <v>42818.0</v>
      </c>
      <c r="AM704" s="4">
        <v>0.742275879979</v>
      </c>
      <c r="AO704" s="49" t="str">
        <f t="shared" si="18"/>
        <v>2017-03</v>
      </c>
    </row>
    <row r="705">
      <c r="A705" s="36">
        <v>41988.0</v>
      </c>
      <c r="B705" s="34">
        <v>0.680416804122</v>
      </c>
      <c r="D705" t="str">
        <f t="shared" si="6"/>
        <v>2014-12</v>
      </c>
      <c r="G705" s="36">
        <v>42463.0</v>
      </c>
      <c r="H705" s="34">
        <v>0.807732725606</v>
      </c>
      <c r="J705" t="str">
        <f t="shared" si="8"/>
        <v>2016-04</v>
      </c>
      <c r="K705" s="44"/>
      <c r="L705" s="46">
        <v>42780.0</v>
      </c>
      <c r="M705" s="4">
        <v>0.920438341977</v>
      </c>
      <c r="O705" t="str">
        <f t="shared" si="10"/>
        <v>2017-02</v>
      </c>
      <c r="AB705" s="36">
        <v>42004.0</v>
      </c>
      <c r="AC705" s="4">
        <v>0.603173077567</v>
      </c>
      <c r="AE705" t="str">
        <f t="shared" si="14"/>
        <v>2014-12</v>
      </c>
      <c r="AG705" s="36">
        <v>42940.0</v>
      </c>
      <c r="AH705" s="4">
        <v>0.654511992535</v>
      </c>
      <c r="AJ705" s="48" t="str">
        <f t="shared" si="16"/>
        <v>2017-07</v>
      </c>
      <c r="AL705" s="36">
        <v>42819.0</v>
      </c>
      <c r="AM705" s="4">
        <v>0.729570512901</v>
      </c>
      <c r="AO705" s="49" t="str">
        <f t="shared" si="18"/>
        <v>2017-03</v>
      </c>
    </row>
    <row r="706">
      <c r="A706" s="36">
        <v>41994.0</v>
      </c>
      <c r="B706" s="34">
        <v>0.657052623088</v>
      </c>
      <c r="D706" t="str">
        <f t="shared" si="6"/>
        <v>2014-12</v>
      </c>
      <c r="G706" s="36">
        <v>42464.0</v>
      </c>
      <c r="H706" s="34">
        <v>0.741827097338</v>
      </c>
      <c r="J706" t="str">
        <f t="shared" si="8"/>
        <v>2016-04</v>
      </c>
      <c r="K706" s="44"/>
      <c r="L706" s="46">
        <v>42781.0</v>
      </c>
      <c r="M706" s="4">
        <v>0.74578848135</v>
      </c>
      <c r="O706" t="str">
        <f t="shared" si="10"/>
        <v>2017-02</v>
      </c>
      <c r="AB706" s="36">
        <v>42010.0</v>
      </c>
      <c r="AC706" s="4">
        <v>0.682903774987</v>
      </c>
      <c r="AE706" t="str">
        <f t="shared" si="14"/>
        <v>2015-01</v>
      </c>
      <c r="AG706" s="36">
        <v>42941.0</v>
      </c>
      <c r="AH706" s="4">
        <v>0.656110750577</v>
      </c>
      <c r="AJ706" s="48" t="str">
        <f t="shared" si="16"/>
        <v>2017-07</v>
      </c>
      <c r="AL706" s="36">
        <v>42825.0</v>
      </c>
      <c r="AM706" s="4">
        <v>0.793369126258</v>
      </c>
      <c r="AO706" s="49" t="str">
        <f t="shared" si="18"/>
        <v>2017-03</v>
      </c>
    </row>
    <row r="707">
      <c r="A707" s="36">
        <v>41995.0</v>
      </c>
      <c r="B707" s="34">
        <v>0.728741036225</v>
      </c>
      <c r="D707" t="str">
        <f t="shared" si="6"/>
        <v>2014-12</v>
      </c>
      <c r="G707" s="36">
        <v>42470.0</v>
      </c>
      <c r="H707" s="34">
        <v>0.756822954332</v>
      </c>
      <c r="J707" t="str">
        <f t="shared" si="8"/>
        <v>2016-04</v>
      </c>
      <c r="K707" s="44"/>
      <c r="L707" s="46">
        <v>42782.0</v>
      </c>
      <c r="M707" s="4">
        <v>0.812455171448</v>
      </c>
      <c r="O707" t="str">
        <f t="shared" si="10"/>
        <v>2017-02</v>
      </c>
      <c r="AB707" s="36">
        <v>42011.0</v>
      </c>
      <c r="AC707" s="4">
        <v>0.768319818111</v>
      </c>
      <c r="AE707" t="str">
        <f t="shared" si="14"/>
        <v>2015-01</v>
      </c>
      <c r="AG707" s="36">
        <v>42947.0</v>
      </c>
      <c r="AH707" s="4">
        <v>0.599891038421</v>
      </c>
      <c r="AJ707" s="48" t="str">
        <f t="shared" si="16"/>
        <v>2017-07</v>
      </c>
      <c r="AL707" s="36">
        <v>42826.0</v>
      </c>
      <c r="AM707" s="4">
        <v>0.681676128923</v>
      </c>
      <c r="AO707" s="49" t="str">
        <f t="shared" si="18"/>
        <v>2017-04</v>
      </c>
    </row>
    <row r="708">
      <c r="A708" s="36">
        <v>42001.0</v>
      </c>
      <c r="B708" s="34">
        <v>0.767564243187</v>
      </c>
      <c r="D708" t="str">
        <f t="shared" si="6"/>
        <v>2014-12</v>
      </c>
      <c r="G708" s="36">
        <v>42471.0</v>
      </c>
      <c r="H708" s="34">
        <v>0.724790491864</v>
      </c>
      <c r="J708" t="str">
        <f t="shared" si="8"/>
        <v>2016-04</v>
      </c>
      <c r="K708" s="44"/>
      <c r="L708" s="46">
        <v>42787.0</v>
      </c>
      <c r="M708" s="4">
        <v>0.784086227402</v>
      </c>
      <c r="O708" t="str">
        <f t="shared" si="10"/>
        <v>2017-02</v>
      </c>
      <c r="AB708" s="36">
        <v>42017.0</v>
      </c>
      <c r="AC708" s="4">
        <v>0.741133684972</v>
      </c>
      <c r="AE708" t="str">
        <f t="shared" si="14"/>
        <v>2015-01</v>
      </c>
      <c r="AG708" s="36">
        <v>42948.0</v>
      </c>
      <c r="AH708" s="4">
        <v>0.579126777132</v>
      </c>
      <c r="AJ708" s="48" t="str">
        <f t="shared" si="16"/>
        <v>2017-08</v>
      </c>
      <c r="AL708" s="36">
        <v>42832.0</v>
      </c>
      <c r="AM708" s="4">
        <v>0.728870128077</v>
      </c>
      <c r="AO708" s="49" t="str">
        <f t="shared" si="18"/>
        <v>2017-04</v>
      </c>
    </row>
    <row r="709">
      <c r="A709" s="36">
        <v>42002.0</v>
      </c>
      <c r="B709" s="34">
        <v>0.642500079803</v>
      </c>
      <c r="D709" t="str">
        <f t="shared" si="6"/>
        <v>2014-12</v>
      </c>
      <c r="G709" s="36">
        <v>42478.0</v>
      </c>
      <c r="H709" s="34">
        <v>0.755336000706</v>
      </c>
      <c r="J709" t="str">
        <f t="shared" si="8"/>
        <v>2016-04</v>
      </c>
      <c r="K709" s="44"/>
      <c r="L709" s="46">
        <v>42788.0</v>
      </c>
      <c r="M709" s="4">
        <v>0.731929617589</v>
      </c>
      <c r="O709" t="str">
        <f t="shared" si="10"/>
        <v>2017-02</v>
      </c>
      <c r="AB709" s="36">
        <v>42018.0</v>
      </c>
      <c r="AC709" s="4">
        <v>0.810117616265</v>
      </c>
      <c r="AE709" t="str">
        <f t="shared" si="14"/>
        <v>2015-01</v>
      </c>
      <c r="AG709" s="36">
        <v>42954.0</v>
      </c>
      <c r="AH709" s="4">
        <v>0.688418513125</v>
      </c>
      <c r="AJ709" s="48" t="str">
        <f t="shared" si="16"/>
        <v>2017-08</v>
      </c>
      <c r="AL709" s="36">
        <v>42833.0</v>
      </c>
      <c r="AM709" s="4">
        <v>0.907955917613</v>
      </c>
      <c r="AO709" s="49" t="str">
        <f t="shared" si="18"/>
        <v>2017-04</v>
      </c>
    </row>
    <row r="710">
      <c r="A710" s="36">
        <v>42008.0</v>
      </c>
      <c r="B710" s="34">
        <v>0.753394234718</v>
      </c>
      <c r="D710" t="str">
        <f t="shared" si="6"/>
        <v>2015-01</v>
      </c>
      <c r="G710" s="36">
        <v>42485.0</v>
      </c>
      <c r="H710" s="34">
        <v>0.794990767578</v>
      </c>
      <c r="J710" t="str">
        <f t="shared" si="8"/>
        <v>2016-04</v>
      </c>
      <c r="K710" s="44"/>
      <c r="L710" s="46">
        <v>42795.0</v>
      </c>
      <c r="M710" s="4">
        <v>0.718764332441</v>
      </c>
      <c r="O710" t="str">
        <f t="shared" si="10"/>
        <v>2017-03</v>
      </c>
      <c r="AB710" s="36">
        <v>42024.0</v>
      </c>
      <c r="AC710" s="4">
        <v>0.710916414252</v>
      </c>
      <c r="AE710" t="str">
        <f t="shared" si="14"/>
        <v>2015-01</v>
      </c>
      <c r="AG710" s="36">
        <v>42955.0</v>
      </c>
      <c r="AH710" s="4">
        <v>0.702633918072</v>
      </c>
      <c r="AJ710" s="48" t="str">
        <f t="shared" si="16"/>
        <v>2017-08</v>
      </c>
      <c r="AL710" s="36">
        <v>42839.0</v>
      </c>
      <c r="AM710" s="4">
        <v>0.782311708003</v>
      </c>
      <c r="AO710" s="49" t="str">
        <f t="shared" si="18"/>
        <v>2017-04</v>
      </c>
    </row>
    <row r="711">
      <c r="A711" s="36">
        <v>42009.0</v>
      </c>
      <c r="B711" s="34">
        <v>0.693910664673</v>
      </c>
      <c r="D711" t="str">
        <f t="shared" si="6"/>
        <v>2015-01</v>
      </c>
      <c r="G711" s="36">
        <v>42491.0</v>
      </c>
      <c r="H711" s="34">
        <v>0.865787167415</v>
      </c>
      <c r="J711" t="str">
        <f t="shared" si="8"/>
        <v>2016-05</v>
      </c>
      <c r="K711" s="44"/>
      <c r="L711" s="46">
        <v>42796.0</v>
      </c>
      <c r="M711" s="4">
        <v>0.780926600744</v>
      </c>
      <c r="O711" t="str">
        <f t="shared" si="10"/>
        <v>2017-03</v>
      </c>
      <c r="AB711" s="36">
        <v>42025.0</v>
      </c>
      <c r="AC711" s="4">
        <v>0.76781177888</v>
      </c>
      <c r="AE711" t="str">
        <f t="shared" si="14"/>
        <v>2015-01</v>
      </c>
      <c r="AG711" s="36">
        <v>42961.0</v>
      </c>
      <c r="AH711" s="4">
        <v>0.683480140702</v>
      </c>
      <c r="AJ711" s="48" t="str">
        <f t="shared" si="16"/>
        <v>2017-08</v>
      </c>
      <c r="AL711" s="36">
        <v>42840.0</v>
      </c>
      <c r="AM711" s="4">
        <v>0.840398692362</v>
      </c>
      <c r="AO711" s="49" t="str">
        <f t="shared" si="18"/>
        <v>2017-04</v>
      </c>
    </row>
    <row r="712">
      <c r="A712" s="36">
        <v>42015.0</v>
      </c>
      <c r="B712" s="34">
        <v>0.748832119202</v>
      </c>
      <c r="D712" t="str">
        <f t="shared" si="6"/>
        <v>2015-01</v>
      </c>
      <c r="G712" s="36">
        <v>42492.0</v>
      </c>
      <c r="H712" s="34">
        <v>0.712376965298</v>
      </c>
      <c r="J712" t="str">
        <f t="shared" si="8"/>
        <v>2016-05</v>
      </c>
      <c r="K712" s="44"/>
      <c r="L712" s="46">
        <v>42802.0</v>
      </c>
      <c r="M712" s="4">
        <v>0.725995333101</v>
      </c>
      <c r="O712" t="str">
        <f t="shared" si="10"/>
        <v>2017-03</v>
      </c>
      <c r="AB712" s="36">
        <v>42031.0</v>
      </c>
      <c r="AC712" s="4">
        <v>0.64621431418</v>
      </c>
      <c r="AE712" t="str">
        <f t="shared" si="14"/>
        <v>2015-01</v>
      </c>
      <c r="AG712" s="36">
        <v>42962.0</v>
      </c>
      <c r="AH712" s="4">
        <v>0.741139137273</v>
      </c>
      <c r="AJ712" s="48" t="str">
        <f t="shared" si="16"/>
        <v>2017-08</v>
      </c>
      <c r="AL712" s="36">
        <v>42846.0</v>
      </c>
      <c r="AM712" s="4">
        <v>0.662701879265</v>
      </c>
      <c r="AO712" s="49" t="str">
        <f t="shared" si="18"/>
        <v>2017-04</v>
      </c>
    </row>
    <row r="713">
      <c r="A713" s="36">
        <v>42016.0</v>
      </c>
      <c r="B713" s="34">
        <v>0.752464476272</v>
      </c>
      <c r="D713" t="str">
        <f t="shared" si="6"/>
        <v>2015-01</v>
      </c>
      <c r="G713" s="36">
        <v>42499.0</v>
      </c>
      <c r="H713" s="34">
        <v>0.706219500249</v>
      </c>
      <c r="J713" t="str">
        <f t="shared" si="8"/>
        <v>2016-05</v>
      </c>
      <c r="K713" s="44"/>
      <c r="L713" s="46">
        <v>42808.0</v>
      </c>
      <c r="M713" s="4">
        <v>0.687640886258</v>
      </c>
      <c r="O713" t="str">
        <f t="shared" si="10"/>
        <v>2017-03</v>
      </c>
      <c r="AB713" s="36">
        <v>42032.0</v>
      </c>
      <c r="AC713" s="4">
        <v>0.80916738024</v>
      </c>
      <c r="AE713" t="str">
        <f t="shared" si="14"/>
        <v>2015-01</v>
      </c>
      <c r="AG713" s="36">
        <v>42968.0</v>
      </c>
      <c r="AH713" s="4">
        <v>0.652567241307</v>
      </c>
      <c r="AJ713" s="48" t="str">
        <f t="shared" si="16"/>
        <v>2017-08</v>
      </c>
      <c r="AL713" s="36">
        <v>42847.0</v>
      </c>
      <c r="AM713" s="4">
        <v>0.875458961206</v>
      </c>
      <c r="AO713" s="49" t="str">
        <f t="shared" si="18"/>
        <v>2017-04</v>
      </c>
    </row>
    <row r="714">
      <c r="A714" s="36">
        <v>42022.0</v>
      </c>
      <c r="B714" s="34">
        <v>0.774251824117</v>
      </c>
      <c r="D714" t="str">
        <f t="shared" si="6"/>
        <v>2015-01</v>
      </c>
      <c r="G714" s="36">
        <v>42505.0</v>
      </c>
      <c r="H714" s="34">
        <v>0.671867455955</v>
      </c>
      <c r="J714" t="str">
        <f t="shared" si="8"/>
        <v>2016-05</v>
      </c>
      <c r="K714" s="44"/>
      <c r="L714" s="46">
        <v>42809.0</v>
      </c>
      <c r="M714" s="4">
        <v>0.727598536978</v>
      </c>
      <c r="O714" t="str">
        <f t="shared" si="10"/>
        <v>2017-03</v>
      </c>
      <c r="AB714" s="36">
        <v>42038.0</v>
      </c>
      <c r="AC714" s="4">
        <v>0.705898565095</v>
      </c>
      <c r="AE714" t="str">
        <f t="shared" si="14"/>
        <v>2015-02</v>
      </c>
      <c r="AG714" s="36">
        <v>42969.0</v>
      </c>
      <c r="AH714" s="4">
        <v>0.768792434456</v>
      </c>
      <c r="AJ714" s="48" t="str">
        <f t="shared" si="16"/>
        <v>2017-08</v>
      </c>
      <c r="AL714" s="36">
        <v>42853.0</v>
      </c>
      <c r="AM714" s="4">
        <v>0.700464247418</v>
      </c>
      <c r="AO714" s="49" t="str">
        <f t="shared" si="18"/>
        <v>2017-04</v>
      </c>
    </row>
    <row r="715">
      <c r="A715" s="36">
        <v>42023.0</v>
      </c>
      <c r="B715" s="34">
        <v>0.666391579104</v>
      </c>
      <c r="D715" t="str">
        <f t="shared" si="6"/>
        <v>2015-01</v>
      </c>
      <c r="G715" s="36">
        <v>42506.0</v>
      </c>
      <c r="H715" s="34">
        <v>0.739328978445</v>
      </c>
      <c r="J715" t="str">
        <f t="shared" si="8"/>
        <v>2016-05</v>
      </c>
      <c r="K715" s="44"/>
      <c r="L715" s="46">
        <v>42810.0</v>
      </c>
      <c r="M715" s="4">
        <v>0.839371922332</v>
      </c>
      <c r="O715" t="str">
        <f t="shared" si="10"/>
        <v>2017-03</v>
      </c>
      <c r="AB715" s="36">
        <v>42039.0</v>
      </c>
      <c r="AC715" s="4">
        <v>0.780976224614</v>
      </c>
      <c r="AE715" t="str">
        <f t="shared" si="14"/>
        <v>2015-02</v>
      </c>
      <c r="AG715" s="36">
        <v>42975.0</v>
      </c>
      <c r="AH715" s="4">
        <v>0.734696278137</v>
      </c>
      <c r="AJ715" s="48" t="str">
        <f t="shared" si="16"/>
        <v>2017-08</v>
      </c>
      <c r="AL715" s="36">
        <v>42854.0</v>
      </c>
      <c r="AM715" s="4">
        <v>0.71058326343</v>
      </c>
      <c r="AO715" s="49" t="str">
        <f t="shared" si="18"/>
        <v>2017-04</v>
      </c>
    </row>
    <row r="716">
      <c r="A716" s="36">
        <v>42029.0</v>
      </c>
      <c r="B716" s="34">
        <v>0.774457432966</v>
      </c>
      <c r="D716" t="str">
        <f t="shared" si="6"/>
        <v>2015-01</v>
      </c>
      <c r="G716" s="36">
        <v>42512.0</v>
      </c>
      <c r="H716" s="34">
        <v>0.758329432465</v>
      </c>
      <c r="J716" t="str">
        <f t="shared" si="8"/>
        <v>2016-05</v>
      </c>
      <c r="K716" s="44"/>
      <c r="L716" s="46">
        <v>42816.0</v>
      </c>
      <c r="M716" s="4">
        <v>0.700880789031</v>
      </c>
      <c r="O716" t="str">
        <f t="shared" si="10"/>
        <v>2017-03</v>
      </c>
      <c r="AB716" s="36">
        <v>42045.0</v>
      </c>
      <c r="AC716" s="4">
        <v>0.701923449829</v>
      </c>
      <c r="AE716" t="str">
        <f t="shared" si="14"/>
        <v>2015-02</v>
      </c>
      <c r="AG716" s="36">
        <v>42976.0</v>
      </c>
      <c r="AH716" s="4">
        <v>0.673982670567</v>
      </c>
      <c r="AJ716" s="48" t="str">
        <f t="shared" si="16"/>
        <v>2017-08</v>
      </c>
      <c r="AL716" s="36">
        <v>42860.0</v>
      </c>
      <c r="AM716" s="4">
        <v>0.779523820693</v>
      </c>
      <c r="AO716" s="49" t="str">
        <f t="shared" si="18"/>
        <v>2017-05</v>
      </c>
    </row>
    <row r="717">
      <c r="A717" s="36">
        <v>42030.0</v>
      </c>
      <c r="B717" s="34">
        <v>0.742476996191</v>
      </c>
      <c r="D717" t="str">
        <f t="shared" si="6"/>
        <v>2015-01</v>
      </c>
      <c r="G717" s="36">
        <v>42513.0</v>
      </c>
      <c r="H717" s="34">
        <v>0.76086976872</v>
      </c>
      <c r="J717" t="str">
        <f t="shared" si="8"/>
        <v>2016-05</v>
      </c>
      <c r="K717" s="44"/>
      <c r="L717" s="46">
        <v>42823.0</v>
      </c>
      <c r="M717" s="4">
        <v>0.763929047127</v>
      </c>
      <c r="O717" t="str">
        <f t="shared" si="10"/>
        <v>2017-03</v>
      </c>
      <c r="AB717" s="36">
        <v>42046.0</v>
      </c>
      <c r="AC717" s="4">
        <v>0.815332590749</v>
      </c>
      <c r="AE717" t="str">
        <f t="shared" si="14"/>
        <v>2015-02</v>
      </c>
      <c r="AG717" s="36">
        <v>42982.0</v>
      </c>
      <c r="AH717" s="4">
        <v>0.720695956034</v>
      </c>
      <c r="AJ717" s="48" t="str">
        <f t="shared" si="16"/>
        <v>2017-09</v>
      </c>
      <c r="AL717" s="36">
        <v>42861.0</v>
      </c>
      <c r="AM717" s="4">
        <v>0.482045325438</v>
      </c>
      <c r="AO717" s="49" t="str">
        <f t="shared" si="18"/>
        <v>2017-05</v>
      </c>
    </row>
    <row r="718">
      <c r="A718" s="36">
        <v>42036.0</v>
      </c>
      <c r="B718" s="34">
        <v>0.859375382185</v>
      </c>
      <c r="D718" t="str">
        <f t="shared" si="6"/>
        <v>2015-02</v>
      </c>
      <c r="G718" s="36">
        <v>42519.0</v>
      </c>
      <c r="H718" s="34">
        <v>0.725691023058</v>
      </c>
      <c r="J718" t="str">
        <f t="shared" si="8"/>
        <v>2016-05</v>
      </c>
      <c r="K718" s="44"/>
      <c r="L718" s="46">
        <v>42824.0</v>
      </c>
      <c r="M718" s="4">
        <v>0.792923382707</v>
      </c>
      <c r="O718" t="str">
        <f t="shared" si="10"/>
        <v>2017-03</v>
      </c>
      <c r="AB718" s="36">
        <v>42052.0</v>
      </c>
      <c r="AC718" s="4">
        <v>0.686161417702</v>
      </c>
      <c r="AE718" t="str">
        <f t="shared" si="14"/>
        <v>2015-02</v>
      </c>
      <c r="AG718" s="36">
        <v>42983.0</v>
      </c>
      <c r="AH718" s="4">
        <v>0.597870611732</v>
      </c>
      <c r="AJ718" s="48" t="str">
        <f t="shared" si="16"/>
        <v>2017-09</v>
      </c>
      <c r="AL718" s="36">
        <v>42867.0</v>
      </c>
      <c r="AM718" s="4">
        <v>0.688900723062</v>
      </c>
      <c r="AO718" s="49" t="str">
        <f t="shared" si="18"/>
        <v>2017-05</v>
      </c>
    </row>
    <row r="719">
      <c r="A719" s="36">
        <v>42037.0</v>
      </c>
      <c r="B719" s="34">
        <v>0.746092558887</v>
      </c>
      <c r="D719" t="str">
        <f t="shared" si="6"/>
        <v>2015-02</v>
      </c>
      <c r="G719" s="36">
        <v>42520.0</v>
      </c>
      <c r="H719" s="34">
        <v>0.697814047294</v>
      </c>
      <c r="J719" t="str">
        <f t="shared" si="8"/>
        <v>2016-05</v>
      </c>
      <c r="K719" s="44"/>
      <c r="L719" s="46">
        <v>42830.0</v>
      </c>
      <c r="M719" s="4">
        <v>0.571117456558</v>
      </c>
      <c r="O719" t="str">
        <f t="shared" si="10"/>
        <v>2017-04</v>
      </c>
      <c r="AB719" s="36">
        <v>42053.0</v>
      </c>
      <c r="AC719" s="4">
        <v>0.621026486258</v>
      </c>
      <c r="AE719" t="str">
        <f t="shared" si="14"/>
        <v>2015-02</v>
      </c>
      <c r="AG719" s="36">
        <v>42990.0</v>
      </c>
      <c r="AH719" s="4">
        <v>0.702813430817</v>
      </c>
      <c r="AJ719" s="48" t="str">
        <f t="shared" si="16"/>
        <v>2017-09</v>
      </c>
      <c r="AL719" s="36">
        <v>42868.0</v>
      </c>
      <c r="AM719" s="4">
        <v>0.55045980295</v>
      </c>
      <c r="AO719" s="49" t="str">
        <f t="shared" si="18"/>
        <v>2017-05</v>
      </c>
    </row>
    <row r="720">
      <c r="A720" s="36">
        <v>42043.0</v>
      </c>
      <c r="B720" s="34">
        <v>0.72321605487</v>
      </c>
      <c r="D720" t="str">
        <f t="shared" si="6"/>
        <v>2015-02</v>
      </c>
      <c r="G720" s="36">
        <v>42526.0</v>
      </c>
      <c r="H720" s="34">
        <v>0.744340225034</v>
      </c>
      <c r="J720" t="str">
        <f t="shared" si="8"/>
        <v>2016-06</v>
      </c>
      <c r="K720" s="44"/>
      <c r="L720" s="46">
        <v>42831.0</v>
      </c>
      <c r="M720" s="4">
        <v>0.639232018195</v>
      </c>
      <c r="O720" t="str">
        <f t="shared" si="10"/>
        <v>2017-04</v>
      </c>
      <c r="AB720" s="36">
        <v>42059.0</v>
      </c>
      <c r="AC720" s="4">
        <v>0.716512425356</v>
      </c>
      <c r="AE720" t="str">
        <f t="shared" si="14"/>
        <v>2015-02</v>
      </c>
      <c r="AG720" s="36">
        <v>42996.0</v>
      </c>
      <c r="AH720" s="4">
        <v>0.716810631054</v>
      </c>
      <c r="AJ720" s="48" t="str">
        <f t="shared" si="16"/>
        <v>2017-09</v>
      </c>
      <c r="AL720" s="36">
        <v>42874.0</v>
      </c>
      <c r="AM720" s="4">
        <v>0.807120449104</v>
      </c>
      <c r="AO720" s="49" t="str">
        <f t="shared" si="18"/>
        <v>2017-05</v>
      </c>
    </row>
    <row r="721">
      <c r="A721" s="36">
        <v>42044.0</v>
      </c>
      <c r="B721" s="34">
        <v>0.733984253453</v>
      </c>
      <c r="D721" t="str">
        <f t="shared" si="6"/>
        <v>2015-02</v>
      </c>
      <c r="G721" s="36">
        <v>42527.0</v>
      </c>
      <c r="H721" s="34">
        <v>0.673244039582</v>
      </c>
      <c r="J721" t="str">
        <f t="shared" si="8"/>
        <v>2016-06</v>
      </c>
      <c r="K721" s="44"/>
      <c r="L721" s="46">
        <v>42836.0</v>
      </c>
      <c r="M721" s="4">
        <v>0.733436283911</v>
      </c>
      <c r="O721" t="str">
        <f t="shared" si="10"/>
        <v>2017-04</v>
      </c>
      <c r="AB721" s="36">
        <v>42066.0</v>
      </c>
      <c r="AC721" s="4">
        <v>0.677665803961</v>
      </c>
      <c r="AE721" t="str">
        <f t="shared" si="14"/>
        <v>2015-03</v>
      </c>
      <c r="AG721" s="36">
        <v>42997.0</v>
      </c>
      <c r="AH721" s="4">
        <v>0.72878694989</v>
      </c>
      <c r="AJ721" s="48" t="str">
        <f t="shared" si="16"/>
        <v>2017-09</v>
      </c>
      <c r="AL721" s="36">
        <v>42875.0</v>
      </c>
      <c r="AM721" s="4">
        <v>0.766187735663</v>
      </c>
      <c r="AO721" s="49" t="str">
        <f t="shared" si="18"/>
        <v>2017-05</v>
      </c>
    </row>
    <row r="722">
      <c r="A722" s="36">
        <v>42050.0</v>
      </c>
      <c r="B722" s="34">
        <v>0.73685903852</v>
      </c>
      <c r="D722" t="str">
        <f t="shared" si="6"/>
        <v>2015-02</v>
      </c>
      <c r="G722" s="36">
        <v>42534.0</v>
      </c>
      <c r="H722" s="34">
        <v>0.708989863381</v>
      </c>
      <c r="J722" t="str">
        <f t="shared" si="8"/>
        <v>2016-06</v>
      </c>
      <c r="K722" s="44"/>
      <c r="L722" s="46">
        <v>42837.0</v>
      </c>
      <c r="M722" s="4">
        <v>0.755587316972</v>
      </c>
      <c r="O722" t="str">
        <f t="shared" si="10"/>
        <v>2017-04</v>
      </c>
      <c r="AB722" s="36">
        <v>42067.0</v>
      </c>
      <c r="AC722" s="4">
        <v>0.639355346124</v>
      </c>
      <c r="AE722" t="str">
        <f t="shared" si="14"/>
        <v>2015-03</v>
      </c>
      <c r="AG722" s="36">
        <v>43003.0</v>
      </c>
      <c r="AH722" s="4">
        <v>0.645880243736</v>
      </c>
      <c r="AJ722" s="48" t="str">
        <f t="shared" si="16"/>
        <v>2017-09</v>
      </c>
      <c r="AL722" s="36">
        <v>42881.0</v>
      </c>
      <c r="AM722" s="4">
        <v>0.785446182096</v>
      </c>
      <c r="AO722" s="49" t="str">
        <f t="shared" si="18"/>
        <v>2017-05</v>
      </c>
    </row>
    <row r="723">
      <c r="A723" s="36">
        <v>42051.0</v>
      </c>
      <c r="B723" s="34">
        <v>0.774957896424</v>
      </c>
      <c r="D723" t="str">
        <f t="shared" si="6"/>
        <v>2015-02</v>
      </c>
      <c r="G723" s="36">
        <v>42540.0</v>
      </c>
      <c r="H723" s="34">
        <v>0.702665535496</v>
      </c>
      <c r="J723" t="str">
        <f t="shared" si="8"/>
        <v>2016-06</v>
      </c>
      <c r="K723" s="44"/>
      <c r="L723" s="46">
        <v>42843.0</v>
      </c>
      <c r="M723" s="4">
        <v>0.803357351863</v>
      </c>
      <c r="O723" t="str">
        <f t="shared" si="10"/>
        <v>2017-04</v>
      </c>
      <c r="AB723" s="36">
        <v>42073.0</v>
      </c>
      <c r="AC723" s="4">
        <v>0.649571713255</v>
      </c>
      <c r="AE723" t="str">
        <f t="shared" si="14"/>
        <v>2015-03</v>
      </c>
      <c r="AG723" s="36">
        <v>43004.0</v>
      </c>
      <c r="AH723" s="4">
        <v>0.711416580693</v>
      </c>
      <c r="AJ723" s="48" t="str">
        <f t="shared" si="16"/>
        <v>2017-09</v>
      </c>
      <c r="AL723" s="36">
        <v>42888.0</v>
      </c>
      <c r="AM723" s="4">
        <v>0.716826712141</v>
      </c>
      <c r="AO723" s="49" t="str">
        <f t="shared" si="18"/>
        <v>2017-06</v>
      </c>
    </row>
    <row r="724">
      <c r="A724" s="36">
        <v>42057.0</v>
      </c>
      <c r="B724" s="34">
        <v>0.702835532535</v>
      </c>
      <c r="D724" t="str">
        <f t="shared" si="6"/>
        <v>2015-02</v>
      </c>
      <c r="G724" s="36">
        <v>42541.0</v>
      </c>
      <c r="H724" s="34">
        <v>0.751958299526</v>
      </c>
      <c r="J724" t="str">
        <f t="shared" si="8"/>
        <v>2016-06</v>
      </c>
      <c r="K724" s="44"/>
      <c r="L724" s="46">
        <v>42844.0</v>
      </c>
      <c r="M724" s="4">
        <v>0.680687789003</v>
      </c>
      <c r="O724" t="str">
        <f t="shared" si="10"/>
        <v>2017-04</v>
      </c>
      <c r="AB724" s="36">
        <v>42074.0</v>
      </c>
      <c r="AC724" s="4">
        <v>0.635094852387</v>
      </c>
      <c r="AE724" t="str">
        <f t="shared" si="14"/>
        <v>2015-03</v>
      </c>
      <c r="AG724" s="36">
        <v>43010.0</v>
      </c>
      <c r="AH724" s="4">
        <v>0.635012269853</v>
      </c>
      <c r="AJ724" s="48" t="str">
        <f t="shared" si="16"/>
        <v>2017-10</v>
      </c>
      <c r="AL724" s="36">
        <v>42889.0</v>
      </c>
      <c r="AM724" s="4">
        <v>0.786067274409</v>
      </c>
      <c r="AO724" s="49" t="str">
        <f t="shared" si="18"/>
        <v>2017-06</v>
      </c>
    </row>
    <row r="725">
      <c r="A725" s="36">
        <v>42058.0</v>
      </c>
      <c r="B725" s="34">
        <v>0.649216920084</v>
      </c>
      <c r="D725" t="str">
        <f t="shared" si="6"/>
        <v>2015-02</v>
      </c>
      <c r="G725" s="36">
        <v>42548.0</v>
      </c>
      <c r="H725" s="34">
        <v>0.746140822698</v>
      </c>
      <c r="J725" t="str">
        <f t="shared" si="8"/>
        <v>2016-06</v>
      </c>
      <c r="K725" s="44"/>
      <c r="L725" s="46">
        <v>42845.0</v>
      </c>
      <c r="M725" s="4">
        <v>0.727920559486</v>
      </c>
      <c r="O725" t="str">
        <f t="shared" si="10"/>
        <v>2017-04</v>
      </c>
      <c r="AB725" s="36">
        <v>42080.0</v>
      </c>
      <c r="AC725" s="4">
        <v>0.686592577963</v>
      </c>
      <c r="AE725" t="str">
        <f t="shared" si="14"/>
        <v>2015-03</v>
      </c>
      <c r="AG725" s="36">
        <v>43011.0</v>
      </c>
      <c r="AH725" s="4">
        <v>0.71514769819</v>
      </c>
      <c r="AJ725" s="48" t="str">
        <f t="shared" si="16"/>
        <v>2017-10</v>
      </c>
      <c r="AL725" s="36">
        <v>42895.0</v>
      </c>
      <c r="AM725" s="4">
        <v>0.739696434805</v>
      </c>
      <c r="AO725" s="49" t="str">
        <f t="shared" si="18"/>
        <v>2017-06</v>
      </c>
    </row>
    <row r="726">
      <c r="A726" s="36">
        <v>42064.0</v>
      </c>
      <c r="B726" s="34">
        <v>0.695605573071</v>
      </c>
      <c r="D726" t="str">
        <f t="shared" si="6"/>
        <v>2015-03</v>
      </c>
      <c r="G726" s="36">
        <v>42555.0</v>
      </c>
      <c r="H726" s="34">
        <v>0.76788514605</v>
      </c>
      <c r="J726" t="str">
        <f t="shared" si="8"/>
        <v>2016-07</v>
      </c>
      <c r="K726" s="44"/>
      <c r="L726" s="46">
        <v>42851.0</v>
      </c>
      <c r="M726" s="4">
        <v>0.75293018937</v>
      </c>
      <c r="O726" t="str">
        <f t="shared" si="10"/>
        <v>2017-04</v>
      </c>
      <c r="AB726" s="36">
        <v>42081.0</v>
      </c>
      <c r="AC726" s="4">
        <v>0.858704039453</v>
      </c>
      <c r="AE726" t="str">
        <f t="shared" si="14"/>
        <v>2015-03</v>
      </c>
      <c r="AG726" s="36">
        <v>43017.0</v>
      </c>
      <c r="AH726" s="4">
        <v>0.676000403622</v>
      </c>
      <c r="AJ726" s="48" t="str">
        <f t="shared" si="16"/>
        <v>2017-10</v>
      </c>
      <c r="AL726" s="36">
        <v>42896.0</v>
      </c>
      <c r="AM726" s="4">
        <v>0.817958889211</v>
      </c>
      <c r="AO726" s="49" t="str">
        <f t="shared" si="18"/>
        <v>2017-06</v>
      </c>
    </row>
    <row r="727">
      <c r="A727" s="36">
        <v>42065.0</v>
      </c>
      <c r="B727" s="34">
        <v>0.812718994377</v>
      </c>
      <c r="D727" t="str">
        <f t="shared" si="6"/>
        <v>2015-03</v>
      </c>
      <c r="G727" s="36">
        <v>42562.0</v>
      </c>
      <c r="H727" s="34">
        <v>0.743700101659</v>
      </c>
      <c r="J727" t="str">
        <f t="shared" si="8"/>
        <v>2016-07</v>
      </c>
      <c r="K727" s="44"/>
      <c r="L727" s="46">
        <v>42852.0</v>
      </c>
      <c r="M727" s="4">
        <v>0.721512702864</v>
      </c>
      <c r="O727" t="str">
        <f t="shared" si="10"/>
        <v>2017-04</v>
      </c>
      <c r="AB727" s="36">
        <v>42087.0</v>
      </c>
      <c r="AC727" s="4">
        <v>0.689070269661</v>
      </c>
      <c r="AE727" t="str">
        <f t="shared" si="14"/>
        <v>2015-03</v>
      </c>
      <c r="AG727" s="36">
        <v>43018.0</v>
      </c>
      <c r="AH727" s="4">
        <v>0.68131569612</v>
      </c>
      <c r="AJ727" s="48" t="str">
        <f t="shared" si="16"/>
        <v>2017-10</v>
      </c>
      <c r="AL727" s="36">
        <v>42902.0</v>
      </c>
      <c r="AM727" s="4">
        <v>0.725879989719</v>
      </c>
      <c r="AO727" s="49" t="str">
        <f t="shared" si="18"/>
        <v>2017-06</v>
      </c>
    </row>
    <row r="728">
      <c r="A728" s="36">
        <v>42071.0</v>
      </c>
      <c r="B728" s="34">
        <v>0.659773795012</v>
      </c>
      <c r="D728" t="str">
        <f t="shared" si="6"/>
        <v>2015-03</v>
      </c>
      <c r="G728" s="36">
        <v>42569.0</v>
      </c>
      <c r="H728" s="34">
        <v>0.728668100125</v>
      </c>
      <c r="J728" t="str">
        <f t="shared" si="8"/>
        <v>2016-07</v>
      </c>
      <c r="K728" s="44"/>
      <c r="L728" s="46">
        <v>42857.0</v>
      </c>
      <c r="M728" s="4">
        <v>0.78225437002</v>
      </c>
      <c r="O728" t="str">
        <f t="shared" si="10"/>
        <v>2017-05</v>
      </c>
      <c r="AB728" s="36">
        <v>42088.0</v>
      </c>
      <c r="AC728" s="4">
        <v>0.724045816013</v>
      </c>
      <c r="AE728" t="str">
        <f t="shared" si="14"/>
        <v>2015-03</v>
      </c>
      <c r="AG728" s="36">
        <v>43024.0</v>
      </c>
      <c r="AH728" s="4">
        <v>0.671707908508</v>
      </c>
      <c r="AJ728" s="48" t="str">
        <f t="shared" si="16"/>
        <v>2017-10</v>
      </c>
      <c r="AL728" s="36">
        <v>42903.0</v>
      </c>
      <c r="AM728" s="4">
        <v>0.709859613724</v>
      </c>
      <c r="AO728" s="49" t="str">
        <f t="shared" si="18"/>
        <v>2017-06</v>
      </c>
    </row>
    <row r="729">
      <c r="A729" s="36">
        <v>42072.0</v>
      </c>
      <c r="B729" s="34">
        <v>0.681691763863</v>
      </c>
      <c r="D729" t="str">
        <f t="shared" si="6"/>
        <v>2015-03</v>
      </c>
      <c r="G729" s="36">
        <v>42575.0</v>
      </c>
      <c r="H729" s="34">
        <v>0.796593957808</v>
      </c>
      <c r="J729" t="str">
        <f t="shared" si="8"/>
        <v>2016-07</v>
      </c>
      <c r="K729" s="44"/>
      <c r="L729" s="46">
        <v>42858.0</v>
      </c>
      <c r="M729" s="4">
        <v>0.731535167148</v>
      </c>
      <c r="O729" t="str">
        <f t="shared" si="10"/>
        <v>2017-05</v>
      </c>
      <c r="AB729" s="36">
        <v>42094.0</v>
      </c>
      <c r="AC729" s="4">
        <v>0.7026296293</v>
      </c>
      <c r="AE729" t="str">
        <f t="shared" si="14"/>
        <v>2015-03</v>
      </c>
      <c r="AG729" s="36">
        <v>43025.0</v>
      </c>
      <c r="AH729" s="4">
        <v>0.66462592585</v>
      </c>
      <c r="AJ729" s="48" t="str">
        <f t="shared" si="16"/>
        <v>2017-10</v>
      </c>
      <c r="AL729" s="36">
        <v>42909.0</v>
      </c>
      <c r="AM729" s="4">
        <v>0.758194034006</v>
      </c>
      <c r="AO729" s="49" t="str">
        <f t="shared" si="18"/>
        <v>2017-06</v>
      </c>
    </row>
    <row r="730">
      <c r="A730" s="36">
        <v>42078.0</v>
      </c>
      <c r="B730" s="34">
        <v>0.69616217514</v>
      </c>
      <c r="D730" t="str">
        <f t="shared" si="6"/>
        <v>2015-03</v>
      </c>
      <c r="G730" s="36">
        <v>42576.0</v>
      </c>
      <c r="H730" s="34">
        <v>0.734119893537</v>
      </c>
      <c r="J730" t="str">
        <f t="shared" si="8"/>
        <v>2016-07</v>
      </c>
      <c r="K730" s="44"/>
      <c r="L730" s="46">
        <v>42859.0</v>
      </c>
      <c r="M730" s="4">
        <v>0.610764126399</v>
      </c>
      <c r="O730" t="str">
        <f t="shared" si="10"/>
        <v>2017-05</v>
      </c>
      <c r="AB730" s="36">
        <v>42095.0</v>
      </c>
      <c r="AC730" s="4">
        <v>0.72871676584</v>
      </c>
      <c r="AE730" t="str">
        <f t="shared" si="14"/>
        <v>2015-04</v>
      </c>
      <c r="AG730" s="36">
        <v>43031.0</v>
      </c>
      <c r="AH730" s="4">
        <v>0.638785313557</v>
      </c>
      <c r="AJ730" s="48" t="str">
        <f t="shared" si="16"/>
        <v>2017-10</v>
      </c>
      <c r="AL730" s="36">
        <v>42910.0</v>
      </c>
      <c r="AM730" s="4">
        <v>0.726552172616</v>
      </c>
      <c r="AO730" s="49" t="str">
        <f t="shared" si="18"/>
        <v>2017-06</v>
      </c>
    </row>
    <row r="731">
      <c r="A731" s="36">
        <v>42079.0</v>
      </c>
      <c r="B731" s="34">
        <v>0.7105847243</v>
      </c>
      <c r="D731" t="str">
        <f t="shared" si="6"/>
        <v>2015-03</v>
      </c>
      <c r="G731" s="36">
        <v>42582.0</v>
      </c>
      <c r="H731" s="34">
        <v>0.769861940079</v>
      </c>
      <c r="J731" t="str">
        <f t="shared" si="8"/>
        <v>2016-07</v>
      </c>
      <c r="K731" s="44"/>
      <c r="L731" s="46">
        <v>42865.0</v>
      </c>
      <c r="M731" s="4">
        <v>0.775026196317</v>
      </c>
      <c r="O731" t="str">
        <f t="shared" si="10"/>
        <v>2017-05</v>
      </c>
      <c r="AB731" s="36">
        <v>42101.0</v>
      </c>
      <c r="AC731" s="4">
        <v>0.724114366056</v>
      </c>
      <c r="AE731" t="str">
        <f t="shared" si="14"/>
        <v>2015-04</v>
      </c>
      <c r="AG731" s="36">
        <v>43032.0</v>
      </c>
      <c r="AH731" s="4">
        <v>0.749367614236</v>
      </c>
      <c r="AJ731" s="48" t="str">
        <f t="shared" si="16"/>
        <v>2017-10</v>
      </c>
      <c r="AL731" s="36">
        <v>42916.0</v>
      </c>
      <c r="AM731" s="4">
        <v>0.66838470159</v>
      </c>
      <c r="AO731" s="49" t="str">
        <f t="shared" si="18"/>
        <v>2017-06</v>
      </c>
    </row>
    <row r="732">
      <c r="A732" s="36">
        <v>42085.0</v>
      </c>
      <c r="B732" s="34">
        <v>0.803299536432</v>
      </c>
      <c r="D732" t="str">
        <f t="shared" si="6"/>
        <v>2015-03</v>
      </c>
      <c r="G732" s="36">
        <v>42583.0</v>
      </c>
      <c r="H732" s="34">
        <v>0.762509204704</v>
      </c>
      <c r="J732" t="str">
        <f t="shared" si="8"/>
        <v>2016-08</v>
      </c>
      <c r="K732" s="44"/>
      <c r="L732" s="46">
        <v>42866.0</v>
      </c>
      <c r="M732" s="4">
        <v>0.821742870087</v>
      </c>
      <c r="O732" t="str">
        <f t="shared" si="10"/>
        <v>2017-05</v>
      </c>
      <c r="AB732" s="36">
        <v>42102.0</v>
      </c>
      <c r="AC732" s="4">
        <v>0.706294918275</v>
      </c>
      <c r="AE732" t="str">
        <f t="shared" si="14"/>
        <v>2015-04</v>
      </c>
      <c r="AG732" s="36">
        <v>43038.0</v>
      </c>
      <c r="AH732" s="4">
        <v>0.739210423265</v>
      </c>
      <c r="AJ732" s="48" t="str">
        <f t="shared" si="16"/>
        <v>2017-10</v>
      </c>
      <c r="AL732" s="36">
        <v>42917.0</v>
      </c>
      <c r="AM732" s="4">
        <v>0.377775783403</v>
      </c>
      <c r="AO732" s="49" t="str">
        <f t="shared" si="18"/>
        <v>2017-07</v>
      </c>
    </row>
    <row r="733">
      <c r="A733" s="36">
        <v>42086.0</v>
      </c>
      <c r="B733" s="34">
        <v>0.728344697015</v>
      </c>
      <c r="D733" t="str">
        <f t="shared" si="6"/>
        <v>2015-03</v>
      </c>
      <c r="G733" s="36">
        <v>42590.0</v>
      </c>
      <c r="H733" s="34">
        <v>0.719597769826</v>
      </c>
      <c r="J733" t="str">
        <f t="shared" si="8"/>
        <v>2016-08</v>
      </c>
      <c r="K733" s="44"/>
      <c r="L733" s="46">
        <v>42872.0</v>
      </c>
      <c r="M733" s="4">
        <v>0.755101697526</v>
      </c>
      <c r="O733" t="str">
        <f t="shared" si="10"/>
        <v>2017-05</v>
      </c>
      <c r="AB733" s="36">
        <v>42108.0</v>
      </c>
      <c r="AC733" s="4">
        <v>0.654886138294</v>
      </c>
      <c r="AE733" t="str">
        <f t="shared" si="14"/>
        <v>2015-04</v>
      </c>
      <c r="AG733" s="36">
        <v>43039.0</v>
      </c>
      <c r="AH733" s="4">
        <v>0.601867024288</v>
      </c>
      <c r="AJ733" s="48" t="str">
        <f t="shared" si="16"/>
        <v>2017-10</v>
      </c>
      <c r="AL733" s="36">
        <v>42923.0</v>
      </c>
      <c r="AM733" s="4">
        <v>0.690457492202</v>
      </c>
      <c r="AO733" s="49" t="str">
        <f t="shared" si="18"/>
        <v>2017-07</v>
      </c>
    </row>
    <row r="734">
      <c r="A734" s="36">
        <v>42092.0</v>
      </c>
      <c r="B734" s="34">
        <v>0.694143531173</v>
      </c>
      <c r="D734" t="str">
        <f t="shared" si="6"/>
        <v>2015-03</v>
      </c>
      <c r="G734" s="36">
        <v>42597.0</v>
      </c>
      <c r="H734" s="34">
        <v>0.790786654074</v>
      </c>
      <c r="J734" t="str">
        <f t="shared" si="8"/>
        <v>2016-08</v>
      </c>
      <c r="K734" s="44"/>
      <c r="L734" s="46">
        <v>42873.0</v>
      </c>
      <c r="M734" s="4">
        <v>0.771453770329</v>
      </c>
      <c r="O734" t="str">
        <f t="shared" si="10"/>
        <v>2017-05</v>
      </c>
      <c r="AB734" s="36">
        <v>42109.0</v>
      </c>
      <c r="AC734" s="4">
        <v>0.723152251453</v>
      </c>
      <c r="AE734" t="str">
        <f t="shared" si="14"/>
        <v>2015-04</v>
      </c>
      <c r="AG734" s="36">
        <v>43045.0</v>
      </c>
      <c r="AH734" s="4">
        <v>0.718419320667</v>
      </c>
      <c r="AJ734" s="48" t="str">
        <f t="shared" si="16"/>
        <v>2017-11</v>
      </c>
      <c r="AL734" s="36">
        <v>42924.0</v>
      </c>
      <c r="AM734" s="4">
        <v>0.714601321601</v>
      </c>
      <c r="AO734" s="49" t="str">
        <f t="shared" si="18"/>
        <v>2017-07</v>
      </c>
    </row>
    <row r="735">
      <c r="A735" s="36">
        <v>42093.0</v>
      </c>
      <c r="B735" s="34">
        <v>0.792684972174</v>
      </c>
      <c r="D735" t="str">
        <f t="shared" si="6"/>
        <v>2015-03</v>
      </c>
      <c r="G735" s="36">
        <v>42604.0</v>
      </c>
      <c r="H735" s="34">
        <v>0.783736164982</v>
      </c>
      <c r="J735" t="str">
        <f t="shared" si="8"/>
        <v>2016-08</v>
      </c>
      <c r="K735" s="44"/>
      <c r="L735" s="46">
        <v>42878.0</v>
      </c>
      <c r="M735" s="4">
        <v>0.820842741626</v>
      </c>
      <c r="O735" t="str">
        <f t="shared" si="10"/>
        <v>2017-05</v>
      </c>
      <c r="AB735" s="36">
        <v>42115.0</v>
      </c>
      <c r="AC735" s="4">
        <v>0.681464720308</v>
      </c>
      <c r="AE735" t="str">
        <f t="shared" si="14"/>
        <v>2015-04</v>
      </c>
      <c r="AG735" s="36">
        <v>43046.0</v>
      </c>
      <c r="AH735" s="4">
        <v>0.652962082913</v>
      </c>
      <c r="AJ735" s="48" t="str">
        <f t="shared" si="16"/>
        <v>2017-11</v>
      </c>
      <c r="AL735" s="36">
        <v>42930.0</v>
      </c>
      <c r="AM735" s="4">
        <v>0.721515894204</v>
      </c>
      <c r="AO735" s="49" t="str">
        <f t="shared" si="18"/>
        <v>2017-07</v>
      </c>
    </row>
    <row r="736">
      <c r="A736" s="36">
        <v>42099.0</v>
      </c>
      <c r="B736" s="34">
        <v>0.731323805389</v>
      </c>
      <c r="D736" t="str">
        <f t="shared" si="6"/>
        <v>2015-04</v>
      </c>
      <c r="G736" s="36">
        <v>42611.0</v>
      </c>
      <c r="H736" s="34">
        <v>0.719855794971</v>
      </c>
      <c r="J736" t="str">
        <f t="shared" si="8"/>
        <v>2016-08</v>
      </c>
      <c r="K736" s="44"/>
      <c r="L736" s="46">
        <v>42879.0</v>
      </c>
      <c r="M736" s="4">
        <v>0.721595982877</v>
      </c>
      <c r="O736" t="str">
        <f t="shared" si="10"/>
        <v>2017-05</v>
      </c>
      <c r="AB736" s="36">
        <v>42116.0</v>
      </c>
      <c r="AC736" s="4">
        <v>0.683575494638</v>
      </c>
      <c r="AE736" t="str">
        <f t="shared" si="14"/>
        <v>2015-04</v>
      </c>
      <c r="AG736" s="36"/>
      <c r="AH736" s="4"/>
      <c r="AJ736" s="48"/>
      <c r="AL736" s="36">
        <v>42931.0</v>
      </c>
      <c r="AM736" s="4">
        <v>0.846432578386</v>
      </c>
      <c r="AO736" s="49" t="str">
        <f t="shared" si="18"/>
        <v>2017-07</v>
      </c>
    </row>
    <row r="737">
      <c r="A737" s="36">
        <v>42100.0</v>
      </c>
      <c r="B737" s="34">
        <v>0.721205957158</v>
      </c>
      <c r="D737" t="str">
        <f t="shared" si="6"/>
        <v>2015-04</v>
      </c>
      <c r="G737" s="36">
        <v>42618.0</v>
      </c>
      <c r="H737" s="34">
        <v>0.768044150298</v>
      </c>
      <c r="J737" t="str">
        <f t="shared" si="8"/>
        <v>2016-09</v>
      </c>
      <c r="K737" s="44"/>
      <c r="L737" s="46">
        <v>42880.0</v>
      </c>
      <c r="M737" s="4">
        <v>0.879383195709</v>
      </c>
      <c r="O737" t="str">
        <f t="shared" si="10"/>
        <v>2017-05</v>
      </c>
      <c r="AB737" s="36">
        <v>42122.0</v>
      </c>
      <c r="AC737" s="4">
        <v>0.719566878485</v>
      </c>
      <c r="AE737" t="str">
        <f t="shared" si="14"/>
        <v>2015-04</v>
      </c>
      <c r="AG737" s="36"/>
      <c r="AH737" s="4"/>
      <c r="AJ737" s="48"/>
      <c r="AL737" s="36">
        <v>42937.0</v>
      </c>
      <c r="AM737" s="4">
        <v>0.694110619001</v>
      </c>
      <c r="AO737" s="49" t="str">
        <f t="shared" si="18"/>
        <v>2017-07</v>
      </c>
    </row>
    <row r="738">
      <c r="A738" s="36">
        <v>42106.0</v>
      </c>
      <c r="B738" s="34">
        <v>0.789130871471</v>
      </c>
      <c r="D738" t="str">
        <f t="shared" si="6"/>
        <v>2015-04</v>
      </c>
      <c r="G738" s="36">
        <v>42625.0</v>
      </c>
      <c r="H738" s="34">
        <v>0.739051614223</v>
      </c>
      <c r="J738" t="str">
        <f t="shared" si="8"/>
        <v>2016-09</v>
      </c>
      <c r="K738" s="44"/>
      <c r="L738" s="46">
        <v>42886.0</v>
      </c>
      <c r="M738" s="4">
        <v>0.671903374797</v>
      </c>
      <c r="O738" t="str">
        <f t="shared" si="10"/>
        <v>2017-05</v>
      </c>
      <c r="AB738" s="36">
        <v>42123.0</v>
      </c>
      <c r="AC738" s="4">
        <v>0.665903683712</v>
      </c>
      <c r="AE738" t="str">
        <f t="shared" si="14"/>
        <v>2015-04</v>
      </c>
      <c r="AG738" s="36"/>
      <c r="AH738" s="4"/>
      <c r="AJ738" s="48"/>
      <c r="AL738" s="36">
        <v>42938.0</v>
      </c>
      <c r="AM738" s="4">
        <v>0.626575312828</v>
      </c>
      <c r="AO738" s="49" t="str">
        <f t="shared" si="18"/>
        <v>2017-07</v>
      </c>
    </row>
    <row r="739">
      <c r="A739" s="36">
        <v>42107.0</v>
      </c>
      <c r="B739" s="34">
        <v>0.697243696059</v>
      </c>
      <c r="D739" t="str">
        <f t="shared" si="6"/>
        <v>2015-04</v>
      </c>
      <c r="G739" s="36">
        <v>42632.0</v>
      </c>
      <c r="H739" s="34">
        <v>0.70426952836</v>
      </c>
      <c r="J739" t="str">
        <f t="shared" si="8"/>
        <v>2016-09</v>
      </c>
      <c r="K739" s="44"/>
      <c r="L739" s="46">
        <v>42887.0</v>
      </c>
      <c r="M739" s="4">
        <v>0.91091006573</v>
      </c>
      <c r="O739" t="str">
        <f t="shared" si="10"/>
        <v>2017-06</v>
      </c>
      <c r="AB739" s="36">
        <v>42129.0</v>
      </c>
      <c r="AC739" s="4">
        <v>0.679943747585</v>
      </c>
      <c r="AE739" t="str">
        <f t="shared" si="14"/>
        <v>2015-05</v>
      </c>
      <c r="AG739" s="36"/>
      <c r="AH739" s="4"/>
      <c r="AJ739" s="48"/>
      <c r="AL739" s="36">
        <v>42944.0</v>
      </c>
      <c r="AM739" s="4">
        <v>0.748767802427</v>
      </c>
      <c r="AO739" s="49" t="str">
        <f t="shared" si="18"/>
        <v>2017-07</v>
      </c>
    </row>
    <row r="740">
      <c r="A740" s="36">
        <v>42113.0</v>
      </c>
      <c r="B740" s="34">
        <v>0.727338084185</v>
      </c>
      <c r="D740" t="str">
        <f t="shared" si="6"/>
        <v>2015-04</v>
      </c>
      <c r="G740" s="36">
        <v>42639.0</v>
      </c>
      <c r="H740" s="34">
        <v>0.76148027148</v>
      </c>
      <c r="J740" t="str">
        <f t="shared" si="8"/>
        <v>2016-09</v>
      </c>
      <c r="K740" s="44"/>
      <c r="L740" s="46">
        <v>42893.0</v>
      </c>
      <c r="M740" s="4">
        <v>0.660940812818</v>
      </c>
      <c r="O740" t="str">
        <f t="shared" si="10"/>
        <v>2017-06</v>
      </c>
      <c r="AB740" s="36">
        <v>42130.0</v>
      </c>
      <c r="AC740" s="4">
        <v>0.636106360373</v>
      </c>
      <c r="AE740" t="str">
        <f t="shared" si="14"/>
        <v>2015-05</v>
      </c>
      <c r="AG740" s="36"/>
      <c r="AH740" s="4"/>
      <c r="AJ740" s="48"/>
      <c r="AL740" s="36">
        <v>42945.0</v>
      </c>
      <c r="AM740" s="4">
        <v>0.66067731575</v>
      </c>
      <c r="AO740" s="49" t="str">
        <f t="shared" si="18"/>
        <v>2017-07</v>
      </c>
    </row>
    <row r="741">
      <c r="A741" s="36">
        <v>42114.0</v>
      </c>
      <c r="B741" s="34">
        <v>0.784764702846</v>
      </c>
      <c r="D741" t="str">
        <f t="shared" si="6"/>
        <v>2015-04</v>
      </c>
      <c r="G741" s="36">
        <v>42646.0</v>
      </c>
      <c r="H741" s="34">
        <v>0.773360196986</v>
      </c>
      <c r="J741" t="str">
        <f t="shared" si="8"/>
        <v>2016-10</v>
      </c>
      <c r="K741" s="44"/>
      <c r="L741" s="46">
        <v>42894.0</v>
      </c>
      <c r="M741" s="4">
        <v>0.214347743701</v>
      </c>
      <c r="O741" t="str">
        <f t="shared" si="10"/>
        <v>2017-06</v>
      </c>
      <c r="AB741" s="36">
        <v>42136.0</v>
      </c>
      <c r="AC741" s="4">
        <v>0.721751724888</v>
      </c>
      <c r="AE741" t="str">
        <f t="shared" si="14"/>
        <v>2015-05</v>
      </c>
      <c r="AG741" s="36"/>
      <c r="AH741" s="4"/>
      <c r="AJ741" s="48"/>
      <c r="AL741" s="36">
        <v>42951.0</v>
      </c>
      <c r="AM741" s="4">
        <v>0.784490088845</v>
      </c>
      <c r="AO741" s="49" t="str">
        <f t="shared" si="18"/>
        <v>2017-08</v>
      </c>
    </row>
    <row r="742">
      <c r="A742" s="36">
        <v>42120.0</v>
      </c>
      <c r="B742" s="34">
        <v>0.195111888746</v>
      </c>
      <c r="D742" t="str">
        <f t="shared" si="6"/>
        <v>2015-04</v>
      </c>
      <c r="G742" s="36">
        <v>42653.0</v>
      </c>
      <c r="H742" s="34">
        <v>0.785338970076</v>
      </c>
      <c r="J742" t="str">
        <f t="shared" si="8"/>
        <v>2016-10</v>
      </c>
      <c r="K742" s="44"/>
      <c r="L742" s="46">
        <v>42900.0</v>
      </c>
      <c r="M742" s="4">
        <v>0.766215059498</v>
      </c>
      <c r="O742" t="str">
        <f t="shared" si="10"/>
        <v>2017-06</v>
      </c>
      <c r="AB742" s="36">
        <v>42137.0</v>
      </c>
      <c r="AC742" s="4">
        <v>0.693730407536</v>
      </c>
      <c r="AE742" t="str">
        <f t="shared" si="14"/>
        <v>2015-05</v>
      </c>
      <c r="AG742" s="36"/>
      <c r="AH742" s="4"/>
      <c r="AJ742" s="48"/>
      <c r="AL742" s="36">
        <v>42952.0</v>
      </c>
      <c r="AM742" s="4">
        <v>0.805880853917</v>
      </c>
      <c r="AO742" s="49" t="str">
        <f t="shared" si="18"/>
        <v>2017-08</v>
      </c>
    </row>
    <row r="743">
      <c r="A743" s="36">
        <v>42121.0</v>
      </c>
      <c r="B743" s="34">
        <v>0.709327017694</v>
      </c>
      <c r="D743" t="str">
        <f t="shared" si="6"/>
        <v>2015-04</v>
      </c>
      <c r="G743" s="36">
        <v>42660.0</v>
      </c>
      <c r="H743" s="34">
        <v>0.795177455911</v>
      </c>
      <c r="J743" t="str">
        <f t="shared" si="8"/>
        <v>2016-10</v>
      </c>
      <c r="K743" s="44"/>
      <c r="L743" s="46">
        <v>42901.0</v>
      </c>
      <c r="M743" s="4">
        <v>0.53623863648</v>
      </c>
      <c r="O743" t="str">
        <f t="shared" si="10"/>
        <v>2017-06</v>
      </c>
      <c r="AB743" s="36">
        <v>42143.0</v>
      </c>
      <c r="AC743" s="4">
        <v>0.728444463037</v>
      </c>
      <c r="AE743" t="str">
        <f t="shared" si="14"/>
        <v>2015-05</v>
      </c>
      <c r="AG743" s="36"/>
      <c r="AH743" s="4"/>
      <c r="AJ743" s="48"/>
      <c r="AL743" s="36">
        <v>42958.0</v>
      </c>
      <c r="AM743" s="4">
        <v>0.73443026</v>
      </c>
      <c r="AO743" s="49" t="str">
        <f t="shared" si="18"/>
        <v>2017-08</v>
      </c>
    </row>
    <row r="744">
      <c r="A744" s="36">
        <v>42127.0</v>
      </c>
      <c r="B744" s="34">
        <v>0.717562081603</v>
      </c>
      <c r="D744" t="str">
        <f t="shared" si="6"/>
        <v>2015-05</v>
      </c>
      <c r="G744" s="36">
        <v>42667.0</v>
      </c>
      <c r="H744" s="34">
        <v>0.799078519995</v>
      </c>
      <c r="J744" t="str">
        <f t="shared" si="8"/>
        <v>2016-10</v>
      </c>
      <c r="K744" s="44"/>
      <c r="L744" s="46">
        <v>42906.0</v>
      </c>
      <c r="M744" s="4">
        <v>0.732850140476</v>
      </c>
      <c r="O744" t="str">
        <f t="shared" si="10"/>
        <v>2017-06</v>
      </c>
      <c r="AB744" s="36">
        <v>42144.0</v>
      </c>
      <c r="AC744" s="4">
        <v>0.630849403014</v>
      </c>
      <c r="AE744" t="str">
        <f t="shared" si="14"/>
        <v>2015-05</v>
      </c>
      <c r="AG744" s="36"/>
      <c r="AH744" s="4"/>
      <c r="AJ744" s="48"/>
      <c r="AL744" s="36">
        <v>42965.0</v>
      </c>
      <c r="AM744" s="4">
        <v>0.784250237275</v>
      </c>
      <c r="AO744" s="49" t="str">
        <f t="shared" si="18"/>
        <v>2017-08</v>
      </c>
    </row>
    <row r="745">
      <c r="A745" s="36">
        <v>42128.0</v>
      </c>
      <c r="B745" s="34">
        <v>0.674944912454</v>
      </c>
      <c r="D745" t="str">
        <f t="shared" si="6"/>
        <v>2015-05</v>
      </c>
      <c r="G745" s="36">
        <v>42673.0</v>
      </c>
      <c r="H745" s="34">
        <v>0.743489868441</v>
      </c>
      <c r="J745" t="str">
        <f t="shared" si="8"/>
        <v>2016-10</v>
      </c>
      <c r="K745" s="44"/>
      <c r="L745" s="46">
        <v>42907.0</v>
      </c>
      <c r="M745" s="4">
        <v>0.744483331928</v>
      </c>
      <c r="O745" t="str">
        <f t="shared" si="10"/>
        <v>2017-06</v>
      </c>
      <c r="AB745" s="36">
        <v>42150.0</v>
      </c>
      <c r="AC745" s="4">
        <v>0.673614465274</v>
      </c>
      <c r="AE745" t="str">
        <f t="shared" si="14"/>
        <v>2015-05</v>
      </c>
      <c r="AG745" s="36"/>
      <c r="AH745" s="4"/>
      <c r="AJ745" s="48"/>
      <c r="AL745" s="36">
        <v>42966.0</v>
      </c>
      <c r="AM745" s="4">
        <v>0.829202679081</v>
      </c>
      <c r="AO745" s="49" t="str">
        <f t="shared" si="18"/>
        <v>2017-08</v>
      </c>
    </row>
    <row r="746">
      <c r="A746" s="36">
        <v>42135.0</v>
      </c>
      <c r="B746" s="34">
        <v>0.683911082044</v>
      </c>
      <c r="D746" t="str">
        <f t="shared" si="6"/>
        <v>2015-05</v>
      </c>
      <c r="G746" s="36">
        <v>42674.0</v>
      </c>
      <c r="H746" s="34">
        <v>0.686749251068</v>
      </c>
      <c r="J746" t="str">
        <f t="shared" si="8"/>
        <v>2016-10</v>
      </c>
      <c r="K746" s="44"/>
      <c r="L746" s="46">
        <v>42914.0</v>
      </c>
      <c r="M746" s="4">
        <v>0.640961519356</v>
      </c>
      <c r="O746" t="str">
        <f t="shared" si="10"/>
        <v>2017-06</v>
      </c>
      <c r="AB746" s="36">
        <v>42151.0</v>
      </c>
      <c r="AC746" s="4">
        <v>0.790227344826</v>
      </c>
      <c r="AE746" t="str">
        <f t="shared" si="14"/>
        <v>2015-05</v>
      </c>
      <c r="AG746" s="36"/>
      <c r="AH746" s="4"/>
      <c r="AJ746" s="48"/>
      <c r="AL746" s="36">
        <v>42972.0</v>
      </c>
      <c r="AM746" s="4">
        <v>0.77499527426</v>
      </c>
      <c r="AO746" s="49" t="str">
        <f t="shared" si="18"/>
        <v>2017-08</v>
      </c>
    </row>
    <row r="747">
      <c r="A747" s="36">
        <v>42142.0</v>
      </c>
      <c r="B747" s="34">
        <v>0.658821432118</v>
      </c>
      <c r="D747" t="str">
        <f t="shared" si="6"/>
        <v>2015-05</v>
      </c>
      <c r="G747" s="36">
        <v>42680.0</v>
      </c>
      <c r="H747" s="34">
        <v>0.775766274171</v>
      </c>
      <c r="J747" t="str">
        <f t="shared" si="8"/>
        <v>2016-11</v>
      </c>
      <c r="K747" s="44"/>
      <c r="L747" s="46">
        <v>42915.0</v>
      </c>
      <c r="M747" s="4">
        <v>0.546921926455</v>
      </c>
      <c r="O747" t="str">
        <f t="shared" si="10"/>
        <v>2017-06</v>
      </c>
      <c r="AB747" s="36">
        <v>42157.0</v>
      </c>
      <c r="AC747" s="4">
        <v>0.72106111127</v>
      </c>
      <c r="AE747" t="str">
        <f t="shared" si="14"/>
        <v>2015-06</v>
      </c>
      <c r="AG747" s="36"/>
      <c r="AH747" s="4"/>
      <c r="AJ747" s="48"/>
      <c r="AL747" s="36">
        <v>42973.0</v>
      </c>
      <c r="AM747" s="4">
        <v>0.431899772017</v>
      </c>
      <c r="AO747" s="49" t="str">
        <f t="shared" si="18"/>
        <v>2017-08</v>
      </c>
    </row>
    <row r="748">
      <c r="A748" s="36">
        <v>42148.0</v>
      </c>
      <c r="B748" s="34">
        <v>0.704072521508</v>
      </c>
      <c r="D748" t="str">
        <f t="shared" si="6"/>
        <v>2015-05</v>
      </c>
      <c r="G748" s="36">
        <v>42681.0</v>
      </c>
      <c r="H748" s="34">
        <v>0.758821671832</v>
      </c>
      <c r="J748" t="str">
        <f t="shared" si="8"/>
        <v>2016-11</v>
      </c>
      <c r="K748" s="44"/>
      <c r="L748" s="46">
        <v>42920.0</v>
      </c>
      <c r="M748" s="4">
        <v>0.717798413213</v>
      </c>
      <c r="O748" t="str">
        <f t="shared" si="10"/>
        <v>2017-07</v>
      </c>
      <c r="AB748" s="36">
        <v>42158.0</v>
      </c>
      <c r="AC748" s="4">
        <v>0.731420433122</v>
      </c>
      <c r="AE748" t="str">
        <f t="shared" si="14"/>
        <v>2015-06</v>
      </c>
      <c r="AG748" s="36"/>
      <c r="AH748" s="4"/>
      <c r="AJ748" s="48"/>
      <c r="AL748" s="36">
        <v>42979.0</v>
      </c>
      <c r="AM748" s="4">
        <v>0.770006326484</v>
      </c>
      <c r="AO748" s="49" t="str">
        <f t="shared" si="18"/>
        <v>2017-09</v>
      </c>
    </row>
    <row r="749">
      <c r="A749" s="36">
        <v>42149.0</v>
      </c>
      <c r="B749" s="34">
        <v>0.741583610413</v>
      </c>
      <c r="D749" t="str">
        <f t="shared" si="6"/>
        <v>2015-05</v>
      </c>
      <c r="G749" s="36">
        <v>42685.0</v>
      </c>
      <c r="H749" s="34">
        <v>0.878335876538</v>
      </c>
      <c r="J749" t="str">
        <f t="shared" si="8"/>
        <v>2016-11</v>
      </c>
      <c r="K749" s="44"/>
      <c r="L749" s="46">
        <v>42921.0</v>
      </c>
      <c r="M749" s="4">
        <v>0.723014477081</v>
      </c>
      <c r="O749" t="str">
        <f t="shared" si="10"/>
        <v>2017-07</v>
      </c>
      <c r="AB749" s="36">
        <v>42164.0</v>
      </c>
      <c r="AC749" s="4">
        <v>0.692855474346</v>
      </c>
      <c r="AE749" t="str">
        <f t="shared" si="14"/>
        <v>2015-06</v>
      </c>
      <c r="AG749" s="36"/>
      <c r="AH749" s="4"/>
      <c r="AJ749" s="48"/>
      <c r="AL749" s="36">
        <v>42986.0</v>
      </c>
      <c r="AM749" s="4">
        <v>0.649712976399</v>
      </c>
      <c r="AO749" s="49" t="str">
        <f t="shared" si="18"/>
        <v>2017-09</v>
      </c>
    </row>
    <row r="750">
      <c r="A750" s="36">
        <v>42156.0</v>
      </c>
      <c r="B750" s="34">
        <v>0.729798490104</v>
      </c>
      <c r="D750" t="str">
        <f t="shared" si="6"/>
        <v>2015-06</v>
      </c>
      <c r="G750" s="36">
        <v>42687.0</v>
      </c>
      <c r="H750" s="34">
        <v>0.737514261588</v>
      </c>
      <c r="J750" t="str">
        <f t="shared" si="8"/>
        <v>2016-11</v>
      </c>
      <c r="K750" s="44"/>
      <c r="L750" s="46">
        <v>42922.0</v>
      </c>
      <c r="M750" s="4">
        <v>0.733895340185</v>
      </c>
      <c r="O750" t="str">
        <f t="shared" si="10"/>
        <v>2017-07</v>
      </c>
      <c r="AB750" s="36">
        <v>42165.0</v>
      </c>
      <c r="AC750" s="4">
        <v>0.715999661378</v>
      </c>
      <c r="AE750" t="str">
        <f t="shared" si="14"/>
        <v>2015-06</v>
      </c>
      <c r="AG750" s="36"/>
      <c r="AH750" s="4"/>
      <c r="AJ750" s="48"/>
      <c r="AL750" s="36">
        <v>42987.0</v>
      </c>
      <c r="AM750" s="4">
        <v>0.73282411023</v>
      </c>
      <c r="AO750" s="49" t="str">
        <f t="shared" si="18"/>
        <v>2017-09</v>
      </c>
    </row>
    <row r="751">
      <c r="A751" s="36">
        <v>42163.0</v>
      </c>
      <c r="B751" s="34">
        <v>0.739136935094</v>
      </c>
      <c r="D751" t="str">
        <f t="shared" si="6"/>
        <v>2015-06</v>
      </c>
      <c r="G751" s="36">
        <v>42688.0</v>
      </c>
      <c r="H751" s="34">
        <v>0.765551839919</v>
      </c>
      <c r="J751" t="str">
        <f t="shared" si="8"/>
        <v>2016-11</v>
      </c>
      <c r="K751" s="44"/>
      <c r="L751" s="46">
        <v>42927.0</v>
      </c>
      <c r="M751" s="4">
        <v>0.647739303689</v>
      </c>
      <c r="O751" t="str">
        <f t="shared" si="10"/>
        <v>2017-07</v>
      </c>
      <c r="AB751" s="36">
        <v>42171.0</v>
      </c>
      <c r="AC751" s="4">
        <v>0.683301173291</v>
      </c>
      <c r="AE751" t="str">
        <f t="shared" si="14"/>
        <v>2015-06</v>
      </c>
      <c r="AG751" s="36"/>
      <c r="AH751" s="4"/>
      <c r="AJ751" s="48"/>
      <c r="AL751" s="36">
        <v>42993.0</v>
      </c>
      <c r="AM751" s="4">
        <v>0.734341919156</v>
      </c>
      <c r="AO751" s="49" t="str">
        <f t="shared" si="18"/>
        <v>2017-09</v>
      </c>
    </row>
    <row r="752">
      <c r="A752" s="36">
        <v>42170.0</v>
      </c>
      <c r="B752" s="34">
        <v>0.713598708914</v>
      </c>
      <c r="D752" t="str">
        <f t="shared" si="6"/>
        <v>2015-06</v>
      </c>
      <c r="G752" s="36">
        <v>42694.0</v>
      </c>
      <c r="H752" s="34">
        <v>0.815551683916</v>
      </c>
      <c r="J752" t="str">
        <f t="shared" si="8"/>
        <v>2016-11</v>
      </c>
      <c r="K752" s="44"/>
      <c r="L752" s="46">
        <v>42928.0</v>
      </c>
      <c r="M752" s="4">
        <v>0.706873401583</v>
      </c>
      <c r="O752" t="str">
        <f t="shared" si="10"/>
        <v>2017-07</v>
      </c>
      <c r="AB752" s="36">
        <v>42172.0</v>
      </c>
      <c r="AC752" s="4">
        <v>0.682106098618</v>
      </c>
      <c r="AE752" t="str">
        <f t="shared" si="14"/>
        <v>2015-06</v>
      </c>
      <c r="AG752" s="36"/>
      <c r="AH752" s="4"/>
      <c r="AJ752" s="48"/>
      <c r="AL752" s="36">
        <v>43000.0</v>
      </c>
      <c r="AM752" s="4">
        <v>0.736139503308</v>
      </c>
      <c r="AO752" s="49" t="str">
        <f t="shared" si="18"/>
        <v>2017-09</v>
      </c>
    </row>
    <row r="753">
      <c r="A753" s="36">
        <v>42177.0</v>
      </c>
      <c r="B753" s="34">
        <v>0.665128757168</v>
      </c>
      <c r="D753" t="str">
        <f t="shared" si="6"/>
        <v>2015-06</v>
      </c>
      <c r="G753" s="36">
        <v>42695.0</v>
      </c>
      <c r="H753" s="34">
        <v>0.74699919126</v>
      </c>
      <c r="J753" t="str">
        <f t="shared" si="8"/>
        <v>2016-11</v>
      </c>
      <c r="K753" s="44"/>
      <c r="L753" s="46">
        <v>42935.0</v>
      </c>
      <c r="M753" s="4">
        <v>0.723377755163</v>
      </c>
      <c r="O753" t="str">
        <f t="shared" si="10"/>
        <v>2017-07</v>
      </c>
      <c r="AB753" s="36">
        <v>42178.0</v>
      </c>
      <c r="AC753" s="4">
        <v>0.67818611699</v>
      </c>
      <c r="AE753" t="str">
        <f t="shared" si="14"/>
        <v>2015-06</v>
      </c>
      <c r="AG753" s="36"/>
      <c r="AH753" s="4"/>
      <c r="AJ753" s="48"/>
      <c r="AL753" s="36">
        <v>43001.0</v>
      </c>
      <c r="AM753" s="4">
        <v>0.753135533879</v>
      </c>
      <c r="AO753" s="49" t="str">
        <f t="shared" si="18"/>
        <v>2017-09</v>
      </c>
    </row>
    <row r="754">
      <c r="A754" s="36">
        <v>42184.0</v>
      </c>
      <c r="B754" s="34">
        <v>0.770184321262</v>
      </c>
      <c r="D754" t="str">
        <f t="shared" si="6"/>
        <v>2015-06</v>
      </c>
      <c r="G754" s="36">
        <v>42701.0</v>
      </c>
      <c r="H754" s="34">
        <v>0.567777699666</v>
      </c>
      <c r="J754" t="str">
        <f t="shared" si="8"/>
        <v>2016-11</v>
      </c>
      <c r="K754" s="44"/>
      <c r="L754" s="46">
        <v>42936.0</v>
      </c>
      <c r="M754" s="4">
        <v>0.714324934015</v>
      </c>
      <c r="O754" t="str">
        <f t="shared" si="10"/>
        <v>2017-07</v>
      </c>
      <c r="AB754" s="36">
        <v>42179.0</v>
      </c>
      <c r="AC754" s="4">
        <v>0.70719569886</v>
      </c>
      <c r="AE754" t="str">
        <f t="shared" si="14"/>
        <v>2015-06</v>
      </c>
      <c r="AG754" s="36"/>
      <c r="AH754" s="4"/>
      <c r="AJ754" s="48"/>
      <c r="AL754" s="36">
        <v>43007.0</v>
      </c>
      <c r="AM754" s="4">
        <v>0.604044691691</v>
      </c>
      <c r="AO754" s="49" t="str">
        <f t="shared" si="18"/>
        <v>2017-09</v>
      </c>
    </row>
    <row r="755">
      <c r="A755" s="36">
        <v>42191.0</v>
      </c>
      <c r="B755" s="34">
        <v>0.735567743354</v>
      </c>
      <c r="D755" t="str">
        <f t="shared" si="6"/>
        <v>2015-07</v>
      </c>
      <c r="G755" s="36">
        <v>42702.0</v>
      </c>
      <c r="H755" s="34">
        <v>0.683645886111</v>
      </c>
      <c r="J755" t="str">
        <f t="shared" si="8"/>
        <v>2016-11</v>
      </c>
      <c r="K755" s="44"/>
      <c r="L755" s="46">
        <v>42941.0</v>
      </c>
      <c r="M755" s="4">
        <v>0.757426999504</v>
      </c>
      <c r="O755" t="str">
        <f t="shared" si="10"/>
        <v>2017-07</v>
      </c>
      <c r="AB755" s="36">
        <v>42185.0</v>
      </c>
      <c r="AC755" s="4">
        <v>0.717101692602</v>
      </c>
      <c r="AE755" t="str">
        <f t="shared" si="14"/>
        <v>2015-06</v>
      </c>
      <c r="AG755" s="36"/>
      <c r="AH755" s="4"/>
      <c r="AJ755" s="48"/>
      <c r="AL755" s="36">
        <v>43008.0</v>
      </c>
      <c r="AM755" s="4">
        <v>0.470103466617</v>
      </c>
      <c r="AO755" s="49" t="str">
        <f t="shared" si="18"/>
        <v>2017-09</v>
      </c>
    </row>
    <row r="756">
      <c r="A756" s="36">
        <v>42198.0</v>
      </c>
      <c r="B756" s="34">
        <v>0.746092212034</v>
      </c>
      <c r="D756" t="str">
        <f t="shared" si="6"/>
        <v>2015-07</v>
      </c>
      <c r="G756" s="36">
        <v>42708.0</v>
      </c>
      <c r="H756" s="34">
        <v>0.761484645301</v>
      </c>
      <c r="J756" t="str">
        <f t="shared" si="8"/>
        <v>2016-12</v>
      </c>
      <c r="K756" s="44"/>
      <c r="L756" s="46">
        <v>42942.0</v>
      </c>
      <c r="M756" s="4">
        <v>0.73960946432</v>
      </c>
      <c r="O756" t="str">
        <f t="shared" si="10"/>
        <v>2017-07</v>
      </c>
      <c r="AB756" s="36">
        <v>42186.0</v>
      </c>
      <c r="AC756" s="4">
        <v>0.665249804732</v>
      </c>
      <c r="AE756" t="str">
        <f t="shared" si="14"/>
        <v>2015-07</v>
      </c>
      <c r="AG756" s="36"/>
      <c r="AH756" s="4"/>
      <c r="AJ756" s="48"/>
      <c r="AL756" s="36">
        <v>43014.0</v>
      </c>
      <c r="AM756" s="4">
        <v>0.734627883855</v>
      </c>
      <c r="AO756" s="49" t="str">
        <f t="shared" si="18"/>
        <v>2017-10</v>
      </c>
    </row>
    <row r="757">
      <c r="A757" s="36">
        <v>42205.0</v>
      </c>
      <c r="B757" s="34">
        <v>0.701385099275</v>
      </c>
      <c r="D757" t="str">
        <f t="shared" si="6"/>
        <v>2015-07</v>
      </c>
      <c r="G757" s="36">
        <v>42709.0</v>
      </c>
      <c r="H757" s="34">
        <v>0.77280409222</v>
      </c>
      <c r="J757" t="str">
        <f t="shared" si="8"/>
        <v>2016-12</v>
      </c>
      <c r="K757" s="44"/>
      <c r="L757" s="46">
        <v>42943.0</v>
      </c>
      <c r="M757" s="4">
        <v>0.911355201185</v>
      </c>
      <c r="O757" t="str">
        <f t="shared" si="10"/>
        <v>2017-07</v>
      </c>
      <c r="AB757" s="36">
        <v>42192.0</v>
      </c>
      <c r="AC757" s="4">
        <v>0.723336895781</v>
      </c>
      <c r="AE757" t="str">
        <f t="shared" si="14"/>
        <v>2015-07</v>
      </c>
      <c r="AG757" s="36"/>
      <c r="AH757" s="4"/>
      <c r="AJ757" s="48"/>
      <c r="AL757" s="36">
        <v>43015.0</v>
      </c>
      <c r="AM757" s="4">
        <v>0.0647643001963</v>
      </c>
      <c r="AO757" s="49" t="str">
        <f t="shared" si="18"/>
        <v>2017-10</v>
      </c>
    </row>
    <row r="758">
      <c r="A758" s="36">
        <v>42211.0</v>
      </c>
      <c r="B758" s="34">
        <v>0.759879682656</v>
      </c>
      <c r="D758" t="str">
        <f t="shared" si="6"/>
        <v>2015-07</v>
      </c>
      <c r="G758" s="36">
        <v>42715.0</v>
      </c>
      <c r="H758" s="34">
        <v>0.697618272026</v>
      </c>
      <c r="J758" t="str">
        <f t="shared" si="8"/>
        <v>2016-12</v>
      </c>
      <c r="K758" s="44"/>
      <c r="L758" s="46">
        <v>42948.0</v>
      </c>
      <c r="M758" s="4">
        <v>0.647332302238</v>
      </c>
      <c r="O758" t="str">
        <f t="shared" si="10"/>
        <v>2017-08</v>
      </c>
      <c r="AB758" s="36">
        <v>42193.0</v>
      </c>
      <c r="AC758" s="4">
        <v>0.735985427315</v>
      </c>
      <c r="AE758" t="str">
        <f t="shared" si="14"/>
        <v>2015-07</v>
      </c>
      <c r="AG758" s="36"/>
      <c r="AH758" s="4"/>
      <c r="AJ758" s="48"/>
      <c r="AL758" s="36">
        <v>43021.0</v>
      </c>
      <c r="AM758" s="4">
        <v>0.733327069309</v>
      </c>
      <c r="AO758" s="49" t="str">
        <f t="shared" si="18"/>
        <v>2017-10</v>
      </c>
    </row>
    <row r="759">
      <c r="A759" s="36">
        <v>42212.0</v>
      </c>
      <c r="B759" s="34">
        <v>0.670264483898</v>
      </c>
      <c r="D759" t="str">
        <f t="shared" si="6"/>
        <v>2015-07</v>
      </c>
      <c r="G759" s="36">
        <v>42716.0</v>
      </c>
      <c r="H759" s="34">
        <v>0.681146014915</v>
      </c>
      <c r="J759" t="str">
        <f t="shared" si="8"/>
        <v>2016-12</v>
      </c>
      <c r="K759" s="44"/>
      <c r="L759" s="46">
        <v>42949.0</v>
      </c>
      <c r="M759" s="4">
        <v>0.710916590409</v>
      </c>
      <c r="O759" t="str">
        <f t="shared" si="10"/>
        <v>2017-08</v>
      </c>
      <c r="AB759" s="36">
        <v>42199.0</v>
      </c>
      <c r="AC759" s="4">
        <v>0.711487261153</v>
      </c>
      <c r="AE759" t="str">
        <f t="shared" si="14"/>
        <v>2015-07</v>
      </c>
      <c r="AG759" s="36"/>
      <c r="AH759" s="4"/>
      <c r="AJ759" s="48"/>
      <c r="AL759" s="36">
        <v>43022.0</v>
      </c>
      <c r="AM759" s="4">
        <v>0.412041651521</v>
      </c>
      <c r="AO759" s="49" t="str">
        <f t="shared" si="18"/>
        <v>2017-10</v>
      </c>
    </row>
    <row r="760">
      <c r="A760" s="36">
        <v>42219.0</v>
      </c>
      <c r="B760" s="34">
        <v>0.624846095346</v>
      </c>
      <c r="D760" t="str">
        <f t="shared" si="6"/>
        <v>2015-08</v>
      </c>
      <c r="G760" s="36">
        <v>42722.0</v>
      </c>
      <c r="H760" s="34">
        <v>0.769385493002</v>
      </c>
      <c r="J760" t="str">
        <f t="shared" si="8"/>
        <v>2016-12</v>
      </c>
      <c r="K760" s="44"/>
      <c r="L760" s="46">
        <v>42950.0</v>
      </c>
      <c r="M760" s="4">
        <v>0.66966952706</v>
      </c>
      <c r="O760" t="str">
        <f t="shared" si="10"/>
        <v>2017-08</v>
      </c>
      <c r="AB760" s="36">
        <v>42200.0</v>
      </c>
      <c r="AC760" s="4">
        <v>0.633699069988</v>
      </c>
      <c r="AE760" t="str">
        <f t="shared" si="14"/>
        <v>2015-07</v>
      </c>
      <c r="AG760" s="36"/>
      <c r="AH760" s="4"/>
      <c r="AJ760" s="48"/>
      <c r="AL760" s="36">
        <v>43028.0</v>
      </c>
      <c r="AM760" s="4">
        <v>0.788464132783</v>
      </c>
      <c r="AO760" s="49" t="str">
        <f t="shared" si="18"/>
        <v>2017-10</v>
      </c>
    </row>
    <row r="761">
      <c r="A761" s="36">
        <v>42226.0</v>
      </c>
      <c r="B761" s="34">
        <v>0.758129119083</v>
      </c>
      <c r="D761" t="str">
        <f t="shared" si="6"/>
        <v>2015-08</v>
      </c>
      <c r="G761" s="36">
        <v>42723.0</v>
      </c>
      <c r="H761" s="34">
        <v>0.765135037722</v>
      </c>
      <c r="J761" t="str">
        <f t="shared" si="8"/>
        <v>2016-12</v>
      </c>
      <c r="K761" s="44"/>
      <c r="L761" s="46">
        <v>42956.0</v>
      </c>
      <c r="M761" s="4">
        <v>0.732647554813</v>
      </c>
      <c r="O761" t="str">
        <f t="shared" si="10"/>
        <v>2017-08</v>
      </c>
      <c r="AB761" s="36">
        <v>42206.0</v>
      </c>
      <c r="AC761" s="4">
        <v>0.683441768975</v>
      </c>
      <c r="AE761" t="str">
        <f t="shared" si="14"/>
        <v>2015-07</v>
      </c>
      <c r="AG761" s="36"/>
      <c r="AH761" s="4"/>
      <c r="AJ761" s="48"/>
      <c r="AL761" s="36">
        <v>43029.0</v>
      </c>
      <c r="AM761" s="4">
        <v>0.737869556981</v>
      </c>
      <c r="AO761" s="49" t="str">
        <f t="shared" si="18"/>
        <v>2017-10</v>
      </c>
    </row>
    <row r="762">
      <c r="A762" s="36">
        <v>42233.0</v>
      </c>
      <c r="B762" s="34">
        <v>0.754239161982</v>
      </c>
      <c r="D762" t="str">
        <f t="shared" si="6"/>
        <v>2015-08</v>
      </c>
      <c r="G762" s="36">
        <v>42729.0</v>
      </c>
      <c r="H762" s="34">
        <v>0.698504179164</v>
      </c>
      <c r="J762" t="str">
        <f t="shared" si="8"/>
        <v>2016-12</v>
      </c>
      <c r="K762" s="44"/>
      <c r="L762" s="46">
        <v>42957.0</v>
      </c>
      <c r="M762" s="4">
        <v>0.672160855311</v>
      </c>
      <c r="O762" t="str">
        <f t="shared" si="10"/>
        <v>2017-08</v>
      </c>
      <c r="AB762" s="36">
        <v>42207.0</v>
      </c>
      <c r="AC762" s="4">
        <v>0.714968460519</v>
      </c>
      <c r="AE762" t="str">
        <f t="shared" si="14"/>
        <v>2015-07</v>
      </c>
      <c r="AG762" s="36"/>
      <c r="AH762" s="4"/>
      <c r="AJ762" s="48"/>
      <c r="AL762" s="36">
        <v>43035.0</v>
      </c>
      <c r="AM762" s="4">
        <v>0.757398651547</v>
      </c>
      <c r="AO762" s="49" t="str">
        <f t="shared" si="18"/>
        <v>2017-10</v>
      </c>
    </row>
    <row r="763">
      <c r="A763" s="36">
        <v>42240.0</v>
      </c>
      <c r="B763" s="34">
        <v>0.768310149223</v>
      </c>
      <c r="D763" t="str">
        <f t="shared" si="6"/>
        <v>2015-08</v>
      </c>
      <c r="G763" s="36">
        <v>42730.0</v>
      </c>
      <c r="H763" s="34">
        <v>0.727928325745</v>
      </c>
      <c r="J763" t="str">
        <f t="shared" si="8"/>
        <v>2016-12</v>
      </c>
      <c r="K763" s="44"/>
      <c r="L763" s="46">
        <v>42962.0</v>
      </c>
      <c r="M763" s="4">
        <v>0.823985624403</v>
      </c>
      <c r="O763" t="str">
        <f t="shared" si="10"/>
        <v>2017-08</v>
      </c>
      <c r="AB763" s="36">
        <v>42213.0</v>
      </c>
      <c r="AC763" s="4">
        <v>0.634834262369</v>
      </c>
      <c r="AE763" t="str">
        <f t="shared" si="14"/>
        <v>2015-07</v>
      </c>
      <c r="AG763" s="36"/>
      <c r="AH763" s="4"/>
      <c r="AJ763" s="48"/>
      <c r="AL763" s="36">
        <v>43036.0</v>
      </c>
      <c r="AM763" s="4">
        <v>0.622719154328</v>
      </c>
      <c r="AO763" s="49" t="str">
        <f t="shared" si="18"/>
        <v>2017-10</v>
      </c>
    </row>
    <row r="764">
      <c r="A764" s="36">
        <v>42247.0</v>
      </c>
      <c r="B764" s="34">
        <v>0.762805999941</v>
      </c>
      <c r="D764" t="str">
        <f t="shared" si="6"/>
        <v>2015-08</v>
      </c>
      <c r="G764" s="36">
        <v>42736.0</v>
      </c>
      <c r="H764" s="34">
        <v>0.7852414017</v>
      </c>
      <c r="J764" t="str">
        <f t="shared" si="8"/>
        <v>2017-01</v>
      </c>
      <c r="K764" s="44"/>
      <c r="L764" s="46">
        <v>42963.0</v>
      </c>
      <c r="M764" s="4">
        <v>0.713691716238</v>
      </c>
      <c r="O764" t="str">
        <f t="shared" si="10"/>
        <v>2017-08</v>
      </c>
      <c r="AB764" s="36">
        <v>42214.0</v>
      </c>
      <c r="AC764" s="4">
        <v>0.588217658216</v>
      </c>
      <c r="AE764" t="str">
        <f t="shared" si="14"/>
        <v>2015-07</v>
      </c>
      <c r="AG764" s="36"/>
      <c r="AH764" s="4"/>
      <c r="AJ764" s="48"/>
      <c r="AL764" s="36">
        <v>43042.0</v>
      </c>
      <c r="AM764" s="4">
        <v>0.765792257169</v>
      </c>
      <c r="AO764" s="49" t="str">
        <f t="shared" si="18"/>
        <v>2017-11</v>
      </c>
    </row>
    <row r="765">
      <c r="A765" s="36">
        <v>42254.0</v>
      </c>
      <c r="B765" s="34">
        <v>0.793201336335</v>
      </c>
      <c r="D765" t="str">
        <f t="shared" si="6"/>
        <v>2015-09</v>
      </c>
      <c r="G765" s="36">
        <v>42737.0</v>
      </c>
      <c r="H765" s="34">
        <v>0.722822043239</v>
      </c>
      <c r="J765" t="str">
        <f t="shared" si="8"/>
        <v>2017-01</v>
      </c>
      <c r="K765" s="44"/>
      <c r="L765" s="46">
        <v>42969.0</v>
      </c>
      <c r="M765" s="4">
        <v>0.826180251467</v>
      </c>
      <c r="O765" t="str">
        <f t="shared" si="10"/>
        <v>2017-08</v>
      </c>
      <c r="AB765" s="36">
        <v>42220.0</v>
      </c>
      <c r="AC765" s="4">
        <v>0.721452536301</v>
      </c>
      <c r="AE765" t="str">
        <f t="shared" si="14"/>
        <v>2015-08</v>
      </c>
      <c r="AG765" s="36"/>
      <c r="AH765" s="4"/>
      <c r="AJ765" s="48"/>
      <c r="AL765" s="36">
        <v>43043.0</v>
      </c>
      <c r="AM765" s="4">
        <v>0.802064693442</v>
      </c>
      <c r="AO765" s="49" t="str">
        <f t="shared" si="18"/>
        <v>2017-11</v>
      </c>
    </row>
    <row r="766">
      <c r="A766" s="36">
        <v>42261.0</v>
      </c>
      <c r="B766" s="34">
        <v>0.740990609226</v>
      </c>
      <c r="D766" t="str">
        <f t="shared" si="6"/>
        <v>2015-09</v>
      </c>
      <c r="G766" s="36">
        <v>42743.0</v>
      </c>
      <c r="H766" s="34">
        <v>0.744076014859</v>
      </c>
      <c r="J766" t="str">
        <f t="shared" si="8"/>
        <v>2017-01</v>
      </c>
      <c r="K766" s="44"/>
      <c r="L766" s="46">
        <v>42970.0</v>
      </c>
      <c r="M766" s="4">
        <v>0.652867167421</v>
      </c>
      <c r="O766" t="str">
        <f t="shared" si="10"/>
        <v>2017-08</v>
      </c>
      <c r="AB766" s="36">
        <v>42221.0</v>
      </c>
      <c r="AC766" s="4">
        <v>0.594134175329</v>
      </c>
      <c r="AE766" t="str">
        <f t="shared" si="14"/>
        <v>2015-08</v>
      </c>
      <c r="AG766" s="36"/>
      <c r="AH766" s="4"/>
      <c r="AJ766" s="48"/>
      <c r="AL766" s="36">
        <v>43049.0</v>
      </c>
      <c r="AM766" s="4">
        <v>0.790168140584</v>
      </c>
      <c r="AO766" s="49" t="str">
        <f t="shared" si="18"/>
        <v>2017-11</v>
      </c>
    </row>
    <row r="767">
      <c r="A767" s="36">
        <v>42267.0</v>
      </c>
      <c r="B767" s="34">
        <v>0.807909357556</v>
      </c>
      <c r="D767" t="str">
        <f t="shared" si="6"/>
        <v>2015-09</v>
      </c>
      <c r="G767" s="36">
        <v>42744.0</v>
      </c>
      <c r="H767" s="34">
        <v>0.714241490416</v>
      </c>
      <c r="J767" t="str">
        <f t="shared" si="8"/>
        <v>2017-01</v>
      </c>
      <c r="K767" s="44"/>
      <c r="L767" s="46">
        <v>42971.0</v>
      </c>
      <c r="M767" s="4">
        <v>0.726509260624</v>
      </c>
      <c r="O767" t="str">
        <f t="shared" si="10"/>
        <v>2017-08</v>
      </c>
      <c r="AB767" s="36">
        <v>42227.0</v>
      </c>
      <c r="AC767" s="4">
        <v>0.711938890368</v>
      </c>
      <c r="AE767" t="str">
        <f t="shared" si="14"/>
        <v>2015-08</v>
      </c>
      <c r="AG767" s="36"/>
      <c r="AH767" s="4"/>
      <c r="AJ767" s="48"/>
      <c r="AL767" s="36">
        <v>43056.0</v>
      </c>
      <c r="AM767" s="4">
        <v>0.727950562558</v>
      </c>
      <c r="AO767" s="49" t="str">
        <f t="shared" si="18"/>
        <v>2017-11</v>
      </c>
    </row>
    <row r="768">
      <c r="A768" s="36">
        <v>42268.0</v>
      </c>
      <c r="B768" s="34">
        <v>0.764702530658</v>
      </c>
      <c r="D768" t="str">
        <f t="shared" si="6"/>
        <v>2015-09</v>
      </c>
      <c r="G768" s="36">
        <v>42750.0</v>
      </c>
      <c r="H768" s="34">
        <v>0.59536236982</v>
      </c>
      <c r="J768" t="str">
        <f t="shared" si="8"/>
        <v>2017-01</v>
      </c>
      <c r="K768" s="44"/>
      <c r="L768" s="46">
        <v>42977.0</v>
      </c>
      <c r="M768" s="4">
        <v>0.695153934682</v>
      </c>
      <c r="O768" t="str">
        <f t="shared" si="10"/>
        <v>2017-08</v>
      </c>
      <c r="AB768" s="36">
        <v>42228.0</v>
      </c>
      <c r="AC768" s="4">
        <v>0.655537354553</v>
      </c>
      <c r="AE768" t="str">
        <f t="shared" si="14"/>
        <v>2015-08</v>
      </c>
      <c r="AG768" s="36"/>
      <c r="AH768" s="4"/>
      <c r="AJ768" s="48"/>
      <c r="AL768" s="36">
        <v>43057.0</v>
      </c>
      <c r="AM768" s="4">
        <v>0.794324656003</v>
      </c>
      <c r="AO768" s="49" t="str">
        <f t="shared" si="18"/>
        <v>2017-11</v>
      </c>
    </row>
    <row r="769">
      <c r="A769" s="36">
        <v>42275.0</v>
      </c>
      <c r="B769" s="34">
        <v>0.756364569146</v>
      </c>
      <c r="D769" t="str">
        <f t="shared" si="6"/>
        <v>2015-09</v>
      </c>
      <c r="G769" s="36">
        <v>42751.0</v>
      </c>
      <c r="H769" s="34">
        <v>0.785370065596</v>
      </c>
      <c r="J769" t="str">
        <f t="shared" si="8"/>
        <v>2017-01</v>
      </c>
      <c r="K769" s="44"/>
      <c r="L769" s="46">
        <v>42978.0</v>
      </c>
      <c r="M769" s="4">
        <v>0.633636167955</v>
      </c>
      <c r="O769" t="str">
        <f t="shared" si="10"/>
        <v>2017-08</v>
      </c>
      <c r="AB769" s="36">
        <v>42234.0</v>
      </c>
      <c r="AC769" s="4">
        <v>0.714890074668</v>
      </c>
      <c r="AE769" t="str">
        <f t="shared" si="14"/>
        <v>2015-08</v>
      </c>
      <c r="AG769" s="36"/>
      <c r="AH769" s="4"/>
      <c r="AJ769" s="48"/>
      <c r="AL769" s="36">
        <v>43063.0</v>
      </c>
      <c r="AM769" s="4">
        <v>0.733289908246</v>
      </c>
      <c r="AO769" s="49" t="str">
        <f t="shared" si="18"/>
        <v>2017-11</v>
      </c>
    </row>
    <row r="770">
      <c r="A770" s="36">
        <v>42282.0</v>
      </c>
      <c r="B770" s="34">
        <v>0.855137379911</v>
      </c>
      <c r="D770" t="str">
        <f t="shared" si="6"/>
        <v>2015-10</v>
      </c>
      <c r="G770" s="36">
        <v>42757.0</v>
      </c>
      <c r="H770" s="34">
        <v>0.780987568194</v>
      </c>
      <c r="J770" t="str">
        <f t="shared" si="8"/>
        <v>2017-01</v>
      </c>
      <c r="K770" s="44"/>
      <c r="L770" s="46">
        <v>42983.0</v>
      </c>
      <c r="M770" s="4">
        <v>0.647715296367</v>
      </c>
      <c r="O770" t="str">
        <f t="shared" si="10"/>
        <v>2017-09</v>
      </c>
      <c r="AB770" s="36">
        <v>42235.0</v>
      </c>
      <c r="AC770" s="4">
        <v>0.679678122109</v>
      </c>
      <c r="AE770" t="str">
        <f t="shared" si="14"/>
        <v>2015-08</v>
      </c>
      <c r="AJ770" s="5"/>
      <c r="AL770" s="36">
        <v>43064.0</v>
      </c>
      <c r="AM770" s="4">
        <v>0.716721032394</v>
      </c>
      <c r="AO770" s="49" t="str">
        <f t="shared" si="18"/>
        <v>2017-11</v>
      </c>
    </row>
    <row r="771">
      <c r="A771" s="36">
        <v>42289.0</v>
      </c>
      <c r="B771" s="34">
        <v>0.784271323939</v>
      </c>
      <c r="D771" t="str">
        <f t="shared" si="6"/>
        <v>2015-10</v>
      </c>
      <c r="G771" s="36">
        <v>42758.0</v>
      </c>
      <c r="H771" s="34">
        <v>0.786991056619</v>
      </c>
      <c r="J771" t="str">
        <f t="shared" si="8"/>
        <v>2017-01</v>
      </c>
      <c r="K771" s="44"/>
      <c r="L771" s="46">
        <v>42984.0</v>
      </c>
      <c r="M771" s="4">
        <v>0.687788409229</v>
      </c>
      <c r="O771" t="str">
        <f t="shared" si="10"/>
        <v>2017-09</v>
      </c>
      <c r="AB771" s="36">
        <v>42241.0</v>
      </c>
      <c r="AC771" s="4">
        <v>0.686539390762</v>
      </c>
      <c r="AE771" t="str">
        <f t="shared" si="14"/>
        <v>2015-08</v>
      </c>
      <c r="AJ771" s="5"/>
      <c r="AL771" s="36">
        <v>43070.0</v>
      </c>
      <c r="AM771" s="4">
        <v>0.71952575447</v>
      </c>
      <c r="AO771" s="49" t="str">
        <f t="shared" si="18"/>
        <v>2017-12</v>
      </c>
    </row>
    <row r="772">
      <c r="A772" s="36">
        <v>42296.0</v>
      </c>
      <c r="B772" s="34">
        <v>0.820109476357</v>
      </c>
      <c r="D772" t="str">
        <f t="shared" si="6"/>
        <v>2015-10</v>
      </c>
      <c r="G772" s="36">
        <v>42764.0</v>
      </c>
      <c r="H772" s="34">
        <v>0.772681724819</v>
      </c>
      <c r="J772" t="str">
        <f t="shared" si="8"/>
        <v>2017-01</v>
      </c>
      <c r="K772" s="44"/>
      <c r="L772" s="46">
        <v>42985.0</v>
      </c>
      <c r="M772" s="4">
        <v>0.370311353956</v>
      </c>
      <c r="O772" t="str">
        <f t="shared" si="10"/>
        <v>2017-09</v>
      </c>
      <c r="AB772" s="36">
        <v>42242.0</v>
      </c>
      <c r="AC772" s="4">
        <v>0.735388766875</v>
      </c>
      <c r="AE772" t="str">
        <f t="shared" si="14"/>
        <v>2015-08</v>
      </c>
      <c r="AJ772" s="5"/>
      <c r="AL772" s="36">
        <v>43071.0</v>
      </c>
      <c r="AM772" s="4">
        <v>0.843339813449</v>
      </c>
      <c r="AO772" s="49" t="str">
        <f t="shared" si="18"/>
        <v>2017-12</v>
      </c>
    </row>
    <row r="773">
      <c r="A773" s="36">
        <v>42302.0</v>
      </c>
      <c r="B773" s="34">
        <v>0.698929790748</v>
      </c>
      <c r="D773" t="str">
        <f t="shared" si="6"/>
        <v>2015-10</v>
      </c>
      <c r="G773" s="36">
        <v>42765.0</v>
      </c>
      <c r="H773" s="34">
        <v>0.829564845389</v>
      </c>
      <c r="J773" t="str">
        <f t="shared" si="8"/>
        <v>2017-01</v>
      </c>
      <c r="K773" s="44"/>
      <c r="L773" s="46">
        <v>42990.0</v>
      </c>
      <c r="M773" s="4">
        <v>0.704145591032</v>
      </c>
      <c r="O773" t="str">
        <f t="shared" si="10"/>
        <v>2017-09</v>
      </c>
      <c r="AB773" s="36">
        <v>42248.0</v>
      </c>
      <c r="AC773" s="4">
        <v>0.705370436455</v>
      </c>
      <c r="AE773" t="str">
        <f t="shared" si="14"/>
        <v>2015-09</v>
      </c>
      <c r="AJ773" s="5"/>
      <c r="AL773" s="36">
        <v>43077.0</v>
      </c>
      <c r="AM773" s="4">
        <v>0.708136673694</v>
      </c>
      <c r="AO773" s="49" t="str">
        <f t="shared" si="18"/>
        <v>2017-12</v>
      </c>
    </row>
    <row r="774">
      <c r="A774" s="36">
        <v>42303.0</v>
      </c>
      <c r="B774" s="34">
        <v>0.767680331627</v>
      </c>
      <c r="D774" t="str">
        <f t="shared" si="6"/>
        <v>2015-10</v>
      </c>
      <c r="G774" s="36">
        <v>42771.0</v>
      </c>
      <c r="H774" s="34">
        <v>0.745939602097</v>
      </c>
      <c r="J774" t="str">
        <f t="shared" si="8"/>
        <v>2017-02</v>
      </c>
      <c r="K774" s="44"/>
      <c r="L774" s="46">
        <v>42991.0</v>
      </c>
      <c r="M774" s="4">
        <v>0.628849783517</v>
      </c>
      <c r="O774" t="str">
        <f t="shared" si="10"/>
        <v>2017-09</v>
      </c>
      <c r="AB774" s="36">
        <v>42249.0</v>
      </c>
      <c r="AC774" s="4">
        <v>0.787755246121</v>
      </c>
      <c r="AE774" t="str">
        <f t="shared" si="14"/>
        <v>2015-09</v>
      </c>
      <c r="AJ774" s="5"/>
      <c r="AL774" s="36">
        <v>43078.0</v>
      </c>
      <c r="AM774" s="4">
        <v>0.796614430979</v>
      </c>
      <c r="AO774" s="49" t="str">
        <f t="shared" si="18"/>
        <v>2017-12</v>
      </c>
    </row>
    <row r="775">
      <c r="A775" s="36">
        <v>42310.0</v>
      </c>
      <c r="B775" s="34">
        <v>0.822553928899</v>
      </c>
      <c r="D775" t="str">
        <f t="shared" si="6"/>
        <v>2015-11</v>
      </c>
      <c r="G775" s="36">
        <v>42772.0</v>
      </c>
      <c r="H775" s="34">
        <v>0.704722107815</v>
      </c>
      <c r="J775" t="str">
        <f t="shared" si="8"/>
        <v>2017-02</v>
      </c>
      <c r="K775" s="44"/>
      <c r="L775" s="46">
        <v>42992.0</v>
      </c>
      <c r="M775" s="4">
        <v>0.659334631488</v>
      </c>
      <c r="O775" t="str">
        <f t="shared" si="10"/>
        <v>2017-09</v>
      </c>
      <c r="AB775" s="36">
        <v>42255.0</v>
      </c>
      <c r="AC775" s="4">
        <v>0.690064699039</v>
      </c>
      <c r="AE775" t="str">
        <f t="shared" si="14"/>
        <v>2015-09</v>
      </c>
      <c r="AJ775" s="5"/>
      <c r="AL775" s="36">
        <v>43084.0</v>
      </c>
      <c r="AM775" s="4">
        <v>0.680825245348</v>
      </c>
      <c r="AO775" s="49" t="str">
        <f t="shared" si="18"/>
        <v>2017-12</v>
      </c>
    </row>
    <row r="776">
      <c r="A776" s="36">
        <v>42317.0</v>
      </c>
      <c r="B776" s="34">
        <v>0.854094352278</v>
      </c>
      <c r="D776" t="str">
        <f t="shared" si="6"/>
        <v>2015-11</v>
      </c>
      <c r="G776" s="36">
        <v>42778.0</v>
      </c>
      <c r="H776" s="34">
        <v>0.754658873661</v>
      </c>
      <c r="J776" t="str">
        <f t="shared" si="8"/>
        <v>2017-02</v>
      </c>
      <c r="K776" s="44"/>
      <c r="L776" s="46">
        <v>42997.0</v>
      </c>
      <c r="M776" s="4">
        <v>0.80235538029</v>
      </c>
      <c r="O776" t="str">
        <f t="shared" si="10"/>
        <v>2017-09</v>
      </c>
      <c r="AB776" s="36">
        <v>42256.0</v>
      </c>
      <c r="AC776" s="4">
        <v>0.619171785236</v>
      </c>
      <c r="AE776" t="str">
        <f t="shared" si="14"/>
        <v>2015-09</v>
      </c>
      <c r="AJ776" s="5"/>
      <c r="AL776" s="36">
        <v>43085.0</v>
      </c>
      <c r="AM776" s="4">
        <v>0.613249574126</v>
      </c>
      <c r="AO776" s="49" t="str">
        <f t="shared" si="18"/>
        <v>2017-12</v>
      </c>
    </row>
    <row r="777">
      <c r="A777" s="36">
        <v>42323.0</v>
      </c>
      <c r="B777" s="34">
        <v>0.817743238794</v>
      </c>
      <c r="D777" t="str">
        <f t="shared" si="6"/>
        <v>2015-11</v>
      </c>
      <c r="G777" s="36">
        <v>42779.0</v>
      </c>
      <c r="H777" s="34">
        <v>0.742742521962</v>
      </c>
      <c r="J777" t="str">
        <f t="shared" si="8"/>
        <v>2017-02</v>
      </c>
      <c r="K777" s="44"/>
      <c r="L777" s="46">
        <v>42998.0</v>
      </c>
      <c r="M777" s="4">
        <v>0.737694568081</v>
      </c>
      <c r="O777" t="str">
        <f t="shared" si="10"/>
        <v>2017-09</v>
      </c>
      <c r="AB777" s="36">
        <v>42262.0</v>
      </c>
      <c r="AC777" s="4">
        <v>0.68342074531</v>
      </c>
      <c r="AE777" t="str">
        <f t="shared" si="14"/>
        <v>2015-09</v>
      </c>
      <c r="AJ777" s="5"/>
      <c r="AL777" s="36">
        <v>43091.0</v>
      </c>
      <c r="AM777" s="4">
        <v>0.721191912613</v>
      </c>
      <c r="AO777" s="49" t="str">
        <f t="shared" si="18"/>
        <v>2017-12</v>
      </c>
    </row>
    <row r="778">
      <c r="A778" s="36">
        <v>42324.0</v>
      </c>
      <c r="B778" s="34">
        <v>0.819239519598</v>
      </c>
      <c r="D778" t="str">
        <f t="shared" si="6"/>
        <v>2015-11</v>
      </c>
      <c r="G778" s="36">
        <v>42786.0</v>
      </c>
      <c r="H778" s="34">
        <v>0.752759583378</v>
      </c>
      <c r="J778" t="str">
        <f t="shared" si="8"/>
        <v>2017-02</v>
      </c>
      <c r="K778" s="44"/>
      <c r="L778" s="46">
        <v>42999.0</v>
      </c>
      <c r="M778" s="4">
        <v>0.663606267624</v>
      </c>
      <c r="O778" t="str">
        <f t="shared" si="10"/>
        <v>2017-09</v>
      </c>
      <c r="AB778" s="36">
        <v>42263.0</v>
      </c>
      <c r="AC778" s="4">
        <v>0.765565672123</v>
      </c>
      <c r="AE778" t="str">
        <f t="shared" si="14"/>
        <v>2015-09</v>
      </c>
      <c r="AJ778" s="5"/>
      <c r="AL778" s="36">
        <v>43092.0</v>
      </c>
      <c r="AM778" s="4">
        <v>0.859648804827</v>
      </c>
      <c r="AO778" s="49" t="str">
        <f t="shared" si="18"/>
        <v>2017-12</v>
      </c>
    </row>
    <row r="779">
      <c r="A779" s="36">
        <v>42331.0</v>
      </c>
      <c r="B779" s="34">
        <v>0.654827747972</v>
      </c>
      <c r="D779" t="str">
        <f t="shared" si="6"/>
        <v>2015-11</v>
      </c>
      <c r="G779" s="36">
        <v>42792.0</v>
      </c>
      <c r="H779" s="34">
        <v>0.746005475752</v>
      </c>
      <c r="J779" t="str">
        <f t="shared" si="8"/>
        <v>2017-02</v>
      </c>
      <c r="K779" s="44"/>
      <c r="L779" s="46">
        <v>43004.0</v>
      </c>
      <c r="M779" s="4">
        <v>0.742625381917</v>
      </c>
      <c r="O779" t="str">
        <f t="shared" si="10"/>
        <v>2017-09</v>
      </c>
      <c r="AB779" s="36">
        <v>42269.0</v>
      </c>
      <c r="AC779" s="4">
        <v>0.671063372961</v>
      </c>
      <c r="AE779" t="str">
        <f t="shared" si="14"/>
        <v>2015-09</v>
      </c>
      <c r="AJ779" s="5"/>
      <c r="AL779" s="36">
        <v>43098.0</v>
      </c>
      <c r="AM779" s="4">
        <v>0.751443579129</v>
      </c>
      <c r="AO779" s="49" t="str">
        <f t="shared" si="18"/>
        <v>2017-12</v>
      </c>
    </row>
    <row r="780">
      <c r="A780" s="36">
        <v>42338.0</v>
      </c>
      <c r="B780" s="34">
        <v>0.704358821019</v>
      </c>
      <c r="D780" t="str">
        <f t="shared" si="6"/>
        <v>2015-11</v>
      </c>
      <c r="G780" s="36">
        <v>42793.0</v>
      </c>
      <c r="H780" s="34">
        <v>0.767808937983</v>
      </c>
      <c r="J780" t="str">
        <f t="shared" si="8"/>
        <v>2017-02</v>
      </c>
      <c r="K780" s="44"/>
      <c r="L780" s="46">
        <v>43005.0</v>
      </c>
      <c r="M780" s="4">
        <v>0.694007668502</v>
      </c>
      <c r="O780" t="str">
        <f t="shared" si="10"/>
        <v>2017-09</v>
      </c>
      <c r="AB780" s="36">
        <v>42270.0</v>
      </c>
      <c r="AC780" s="4">
        <v>0.797977391546</v>
      </c>
      <c r="AE780" t="str">
        <f t="shared" si="14"/>
        <v>2015-09</v>
      </c>
      <c r="AJ780" s="5"/>
      <c r="AL780" s="36">
        <v>43105.0</v>
      </c>
      <c r="AM780" s="4">
        <v>0.722005567295</v>
      </c>
      <c r="AO780" s="49" t="str">
        <f t="shared" si="18"/>
        <v>2018-01</v>
      </c>
    </row>
    <row r="781">
      <c r="A781" s="36">
        <v>42344.0</v>
      </c>
      <c r="B781" s="34">
        <v>0.641688893423</v>
      </c>
      <c r="D781" t="str">
        <f t="shared" si="6"/>
        <v>2015-12</v>
      </c>
      <c r="G781" s="36">
        <v>42799.0</v>
      </c>
      <c r="H781" s="34">
        <v>0.760587582952</v>
      </c>
      <c r="J781" t="str">
        <f t="shared" si="8"/>
        <v>2017-03</v>
      </c>
      <c r="K781" s="44"/>
      <c r="L781" s="46">
        <v>43006.0</v>
      </c>
      <c r="M781" s="4">
        <v>0.662235844691</v>
      </c>
      <c r="O781" t="str">
        <f t="shared" si="10"/>
        <v>2017-09</v>
      </c>
      <c r="AB781" s="36">
        <v>42276.0</v>
      </c>
      <c r="AC781" s="4">
        <v>0.739335494605</v>
      </c>
      <c r="AE781" t="str">
        <f t="shared" si="14"/>
        <v>2015-09</v>
      </c>
      <c r="AJ781" s="5"/>
      <c r="AL781" s="36">
        <v>43106.0</v>
      </c>
      <c r="AM781" s="4">
        <v>0.827654133469</v>
      </c>
      <c r="AO781" s="49" t="str">
        <f t="shared" si="18"/>
        <v>2018-01</v>
      </c>
    </row>
    <row r="782">
      <c r="A782" s="36">
        <v>42345.0</v>
      </c>
      <c r="B782" s="34">
        <v>0.742677340231</v>
      </c>
      <c r="D782" t="str">
        <f t="shared" si="6"/>
        <v>2015-12</v>
      </c>
      <c r="G782" s="36">
        <v>42800.0</v>
      </c>
      <c r="H782" s="34">
        <v>0.741121676403</v>
      </c>
      <c r="J782" t="str">
        <f t="shared" si="8"/>
        <v>2017-03</v>
      </c>
      <c r="K782" s="44"/>
      <c r="L782" s="46">
        <v>43012.0</v>
      </c>
      <c r="M782" s="4">
        <v>0.719980993821</v>
      </c>
      <c r="O782" t="str">
        <f t="shared" si="10"/>
        <v>2017-10</v>
      </c>
      <c r="AB782" s="36">
        <v>42277.0</v>
      </c>
      <c r="AC782" s="4">
        <v>0.470045997297</v>
      </c>
      <c r="AE782" t="str">
        <f t="shared" si="14"/>
        <v>2015-09</v>
      </c>
      <c r="AJ782" s="5"/>
      <c r="AL782" s="36">
        <v>43112.0</v>
      </c>
      <c r="AM782" s="4">
        <v>0.736327405626</v>
      </c>
      <c r="AO782" s="49" t="str">
        <f t="shared" si="18"/>
        <v>2018-01</v>
      </c>
    </row>
    <row r="783">
      <c r="A783" s="36">
        <v>42351.0</v>
      </c>
      <c r="B783" s="34">
        <v>0.795729224628</v>
      </c>
      <c r="D783" t="str">
        <f t="shared" si="6"/>
        <v>2015-12</v>
      </c>
      <c r="G783" s="36">
        <v>42806.0</v>
      </c>
      <c r="H783" s="34">
        <v>0.77472151061</v>
      </c>
      <c r="J783" t="str">
        <f t="shared" si="8"/>
        <v>2017-03</v>
      </c>
      <c r="K783" s="44"/>
      <c r="L783" s="46">
        <v>43013.0</v>
      </c>
      <c r="M783" s="4">
        <v>0.707206607627</v>
      </c>
      <c r="O783" t="str">
        <f t="shared" si="10"/>
        <v>2017-10</v>
      </c>
      <c r="AB783" s="36">
        <v>42283.0</v>
      </c>
      <c r="AC783" s="4">
        <v>0.728731365597</v>
      </c>
      <c r="AE783" t="str">
        <f t="shared" si="14"/>
        <v>2015-10</v>
      </c>
      <c r="AJ783" s="5"/>
      <c r="AL783" s="36">
        <v>43119.0</v>
      </c>
      <c r="AM783" s="4">
        <v>0.712016064017</v>
      </c>
      <c r="AO783" s="49" t="str">
        <f t="shared" si="18"/>
        <v>2018-01</v>
      </c>
    </row>
    <row r="784">
      <c r="A784" s="36">
        <v>42352.0</v>
      </c>
      <c r="B784" s="34">
        <v>0.726578280294</v>
      </c>
      <c r="D784" t="str">
        <f t="shared" si="6"/>
        <v>2015-12</v>
      </c>
      <c r="G784" s="36">
        <v>42807.0</v>
      </c>
      <c r="H784" s="34">
        <v>0.764133495815</v>
      </c>
      <c r="J784" t="str">
        <f t="shared" si="8"/>
        <v>2017-03</v>
      </c>
      <c r="K784" s="44"/>
      <c r="L784" s="46">
        <v>43019.0</v>
      </c>
      <c r="M784" s="4">
        <v>0.695085513233</v>
      </c>
      <c r="O784" t="str">
        <f t="shared" si="10"/>
        <v>2017-10</v>
      </c>
      <c r="AB784" s="36">
        <v>42284.0</v>
      </c>
      <c r="AC784" s="4">
        <v>0.752173756757</v>
      </c>
      <c r="AE784" t="str">
        <f t="shared" si="14"/>
        <v>2015-10</v>
      </c>
      <c r="AJ784" s="5"/>
      <c r="AL784" s="36">
        <v>43120.0</v>
      </c>
      <c r="AM784" s="4">
        <v>0.79214511016</v>
      </c>
      <c r="AO784" s="49" t="str">
        <f t="shared" si="18"/>
        <v>2018-01</v>
      </c>
    </row>
    <row r="785">
      <c r="A785" s="36">
        <v>42358.0</v>
      </c>
      <c r="B785" s="34">
        <v>0.725823744547</v>
      </c>
      <c r="D785" t="str">
        <f t="shared" si="6"/>
        <v>2015-12</v>
      </c>
      <c r="G785" s="36">
        <v>42813.0</v>
      </c>
      <c r="H785" s="34">
        <v>0.698517528738</v>
      </c>
      <c r="J785" t="str">
        <f t="shared" si="8"/>
        <v>2017-03</v>
      </c>
      <c r="K785" s="44"/>
      <c r="L785" s="46">
        <v>43020.0</v>
      </c>
      <c r="M785" s="4">
        <v>0.571857923992</v>
      </c>
      <c r="O785" t="str">
        <f t="shared" si="10"/>
        <v>2017-10</v>
      </c>
      <c r="AB785" s="36">
        <v>42290.0</v>
      </c>
      <c r="AC785" s="4">
        <v>0.66857000944</v>
      </c>
      <c r="AE785" t="str">
        <f t="shared" si="14"/>
        <v>2015-10</v>
      </c>
      <c r="AJ785" s="5"/>
      <c r="AL785" s="36">
        <v>43126.0</v>
      </c>
      <c r="AM785" s="4">
        <v>0.783071715736</v>
      </c>
      <c r="AO785" s="49" t="str">
        <f t="shared" si="18"/>
        <v>2018-01</v>
      </c>
    </row>
    <row r="786">
      <c r="A786" s="36">
        <v>42359.0</v>
      </c>
      <c r="B786" s="34">
        <v>0.67524205269</v>
      </c>
      <c r="D786" t="str">
        <f t="shared" si="6"/>
        <v>2015-12</v>
      </c>
      <c r="G786" s="36">
        <v>42814.0</v>
      </c>
      <c r="H786" s="34">
        <v>0.707931687882</v>
      </c>
      <c r="J786" t="str">
        <f t="shared" si="8"/>
        <v>2017-03</v>
      </c>
      <c r="K786" s="44"/>
      <c r="L786" s="46">
        <v>43026.0</v>
      </c>
      <c r="M786" s="4">
        <v>0.799366256312</v>
      </c>
      <c r="O786" t="str">
        <f t="shared" si="10"/>
        <v>2017-10</v>
      </c>
      <c r="AB786" s="36">
        <v>42291.0</v>
      </c>
      <c r="AC786" s="4">
        <v>0.713491222705</v>
      </c>
      <c r="AE786" t="str">
        <f t="shared" si="14"/>
        <v>2015-10</v>
      </c>
      <c r="AJ786" s="5"/>
      <c r="AL786" s="36">
        <v>43127.0</v>
      </c>
      <c r="AM786" s="4">
        <v>0.715752426082</v>
      </c>
      <c r="AO786" s="49" t="str">
        <f t="shared" si="18"/>
        <v>2018-01</v>
      </c>
    </row>
    <row r="787">
      <c r="A787" s="36">
        <v>42366.0</v>
      </c>
      <c r="B787" s="34">
        <v>0.826190635014</v>
      </c>
      <c r="D787" t="str">
        <f t="shared" si="6"/>
        <v>2015-12</v>
      </c>
      <c r="G787" s="36">
        <v>42820.0</v>
      </c>
      <c r="H787" s="34">
        <v>0.719214488424</v>
      </c>
      <c r="J787" t="str">
        <f t="shared" si="8"/>
        <v>2017-03</v>
      </c>
      <c r="K787" s="44"/>
      <c r="L787" s="46">
        <v>43027.0</v>
      </c>
      <c r="M787" s="4">
        <v>0.882202142396</v>
      </c>
      <c r="O787" t="str">
        <f t="shared" si="10"/>
        <v>2017-10</v>
      </c>
      <c r="AB787" s="36">
        <v>42297.0</v>
      </c>
      <c r="AC787" s="4">
        <v>0.669760062515</v>
      </c>
      <c r="AE787" t="str">
        <f t="shared" si="14"/>
        <v>2015-10</v>
      </c>
      <c r="AJ787" s="5"/>
      <c r="AL787" s="36">
        <v>43133.0</v>
      </c>
      <c r="AM787" s="4">
        <v>0.783895712632</v>
      </c>
      <c r="AO787" s="49" t="str">
        <f t="shared" si="18"/>
        <v>2018-02</v>
      </c>
    </row>
    <row r="788">
      <c r="A788" s="36">
        <v>42372.0</v>
      </c>
      <c r="B788" s="34">
        <v>0.698680184595</v>
      </c>
      <c r="D788" t="str">
        <f t="shared" si="6"/>
        <v>2016-01</v>
      </c>
      <c r="G788" s="36">
        <v>42821.0</v>
      </c>
      <c r="H788" s="34">
        <v>0.703193985863</v>
      </c>
      <c r="J788" t="str">
        <f t="shared" si="8"/>
        <v>2017-03</v>
      </c>
      <c r="K788" s="44"/>
      <c r="L788" s="46">
        <v>43033.0</v>
      </c>
      <c r="M788" s="4">
        <v>0.710692258791</v>
      </c>
      <c r="O788" t="str">
        <f t="shared" si="10"/>
        <v>2017-10</v>
      </c>
      <c r="AB788" s="36">
        <v>42298.0</v>
      </c>
      <c r="AC788" s="4">
        <v>0.698334949698</v>
      </c>
      <c r="AE788" t="str">
        <f t="shared" si="14"/>
        <v>2015-10</v>
      </c>
      <c r="AJ788" s="5"/>
      <c r="AL788" s="36">
        <v>43140.0</v>
      </c>
      <c r="AM788" s="4">
        <v>0.726115718025</v>
      </c>
      <c r="AO788" s="49" t="str">
        <f t="shared" si="18"/>
        <v>2018-02</v>
      </c>
    </row>
    <row r="789">
      <c r="A789" s="36">
        <v>42373.0</v>
      </c>
      <c r="B789" s="34">
        <v>0.74140948138</v>
      </c>
      <c r="D789" t="str">
        <f t="shared" si="6"/>
        <v>2016-01</v>
      </c>
      <c r="G789" s="36">
        <v>42827.0</v>
      </c>
      <c r="H789" s="34">
        <v>0.712179437353</v>
      </c>
      <c r="J789" t="str">
        <f t="shared" si="8"/>
        <v>2017-04</v>
      </c>
      <c r="K789" s="44"/>
      <c r="L789" s="46">
        <v>43034.0</v>
      </c>
      <c r="M789" s="4">
        <v>0.721078888404</v>
      </c>
      <c r="O789" t="str">
        <f t="shared" si="10"/>
        <v>2017-10</v>
      </c>
      <c r="AB789" s="36">
        <v>42304.0</v>
      </c>
      <c r="AC789" s="4">
        <v>0.704017347476</v>
      </c>
      <c r="AE789" t="str">
        <f t="shared" si="14"/>
        <v>2015-10</v>
      </c>
      <c r="AJ789" s="5"/>
      <c r="AL789" s="36">
        <v>43147.0</v>
      </c>
      <c r="AM789" s="4">
        <v>0.78207454827</v>
      </c>
      <c r="AO789" s="49" t="str">
        <f t="shared" si="18"/>
        <v>2018-02</v>
      </c>
    </row>
    <row r="790">
      <c r="A790" s="36">
        <v>42379.0</v>
      </c>
      <c r="B790" s="34">
        <v>0.70411450574</v>
      </c>
      <c r="D790" t="str">
        <f t="shared" si="6"/>
        <v>2016-01</v>
      </c>
      <c r="G790" s="36">
        <v>42828.0</v>
      </c>
      <c r="H790" s="34">
        <v>0.738990989512</v>
      </c>
      <c r="J790" t="str">
        <f t="shared" si="8"/>
        <v>2017-04</v>
      </c>
      <c r="K790" s="44"/>
      <c r="L790" s="46">
        <v>43040.0</v>
      </c>
      <c r="M790" s="4">
        <v>0.763251050215</v>
      </c>
      <c r="O790" t="str">
        <f t="shared" si="10"/>
        <v>2017-11</v>
      </c>
      <c r="AB790" s="36">
        <v>42305.0</v>
      </c>
      <c r="AC790" s="4">
        <v>0.600788840508</v>
      </c>
      <c r="AE790" t="str">
        <f t="shared" si="14"/>
        <v>2015-10</v>
      </c>
      <c r="AJ790" s="5"/>
      <c r="AL790" s="36">
        <v>43148.0</v>
      </c>
      <c r="AM790" s="4">
        <v>0.853554956726</v>
      </c>
      <c r="AO790" s="49" t="str">
        <f t="shared" si="18"/>
        <v>2018-02</v>
      </c>
    </row>
    <row r="791">
      <c r="A791" s="36">
        <v>42380.0</v>
      </c>
      <c r="B791" s="34">
        <v>0.710092011238</v>
      </c>
      <c r="D791" t="str">
        <f t="shared" si="6"/>
        <v>2016-01</v>
      </c>
      <c r="G791" s="36">
        <v>42834.0</v>
      </c>
      <c r="H791" s="34">
        <v>0.783508491416</v>
      </c>
      <c r="J791" t="str">
        <f t="shared" si="8"/>
        <v>2017-04</v>
      </c>
      <c r="K791" s="44"/>
      <c r="L791" s="46">
        <v>43041.0</v>
      </c>
      <c r="M791" s="4">
        <v>0.682982621076</v>
      </c>
      <c r="O791" t="str">
        <f t="shared" si="10"/>
        <v>2017-11</v>
      </c>
      <c r="AB791" s="36">
        <v>42311.0</v>
      </c>
      <c r="AC791" s="4">
        <v>0.724312149506</v>
      </c>
      <c r="AE791" t="str">
        <f t="shared" si="14"/>
        <v>2015-11</v>
      </c>
      <c r="AJ791" s="5"/>
      <c r="AL791" s="36">
        <v>43154.0</v>
      </c>
      <c r="AM791" s="4">
        <v>0.715153626486</v>
      </c>
      <c r="AO791" s="49" t="str">
        <f t="shared" si="18"/>
        <v>2018-02</v>
      </c>
    </row>
    <row r="792">
      <c r="A792" s="36">
        <v>42386.0</v>
      </c>
      <c r="B792" s="34">
        <v>0.68838409714</v>
      </c>
      <c r="D792" t="str">
        <f t="shared" si="6"/>
        <v>2016-01</v>
      </c>
      <c r="G792" s="36">
        <v>42835.0</v>
      </c>
      <c r="H792" s="34">
        <v>0.758967001621</v>
      </c>
      <c r="J792" t="str">
        <f t="shared" si="8"/>
        <v>2017-04</v>
      </c>
      <c r="K792" s="44"/>
      <c r="L792" s="63"/>
      <c r="AB792" s="36">
        <v>42317.0</v>
      </c>
      <c r="AC792" s="4">
        <v>0.739727221338</v>
      </c>
      <c r="AE792" t="str">
        <f t="shared" si="14"/>
        <v>2015-11</v>
      </c>
      <c r="AJ792" s="5"/>
      <c r="AL792" s="36">
        <v>43161.0</v>
      </c>
      <c r="AM792" s="4">
        <v>0.680754413865</v>
      </c>
      <c r="AO792" s="49" t="str">
        <f t="shared" si="18"/>
        <v>2018-03</v>
      </c>
    </row>
    <row r="793">
      <c r="A793" s="36">
        <v>42387.0</v>
      </c>
      <c r="B793" s="34">
        <v>0.756252991469</v>
      </c>
      <c r="D793" t="str">
        <f t="shared" si="6"/>
        <v>2016-01</v>
      </c>
      <c r="G793" s="36">
        <v>42842.0</v>
      </c>
      <c r="H793" s="34">
        <v>0.738982612588</v>
      </c>
      <c r="J793" t="str">
        <f t="shared" si="8"/>
        <v>2017-04</v>
      </c>
      <c r="K793" s="44"/>
      <c r="L793" s="63"/>
      <c r="AB793" s="36">
        <v>42318.0</v>
      </c>
      <c r="AC793" s="4">
        <v>0.66860960849</v>
      </c>
      <c r="AE793" t="str">
        <f t="shared" si="14"/>
        <v>2015-11</v>
      </c>
      <c r="AJ793" s="5"/>
      <c r="AL793" s="36">
        <v>43168.0</v>
      </c>
      <c r="AM793" s="4">
        <v>0.749121593316</v>
      </c>
      <c r="AO793" s="49" t="str">
        <f t="shared" si="18"/>
        <v>2018-03</v>
      </c>
    </row>
    <row r="794">
      <c r="A794" s="36">
        <v>42393.0</v>
      </c>
      <c r="B794" s="34">
        <v>0.705708355721</v>
      </c>
      <c r="D794" t="str">
        <f t="shared" si="6"/>
        <v>2016-01</v>
      </c>
      <c r="G794" s="36">
        <v>42849.0</v>
      </c>
      <c r="H794" s="34">
        <v>0.792683147508</v>
      </c>
      <c r="J794" t="str">
        <f t="shared" si="8"/>
        <v>2017-04</v>
      </c>
      <c r="K794" s="44"/>
      <c r="L794" s="63"/>
      <c r="AB794" s="36">
        <v>42319.0</v>
      </c>
      <c r="AC794" s="4">
        <v>0.498528013158</v>
      </c>
      <c r="AE794" t="str">
        <f t="shared" si="14"/>
        <v>2015-11</v>
      </c>
      <c r="AJ794" s="5"/>
      <c r="AL794" s="36">
        <v>43169.0</v>
      </c>
      <c r="AM794" s="4">
        <v>0.789661232636</v>
      </c>
      <c r="AO794" s="49" t="str">
        <f t="shared" si="18"/>
        <v>2018-03</v>
      </c>
    </row>
    <row r="795">
      <c r="A795" s="36">
        <v>42394.0</v>
      </c>
      <c r="B795" s="34">
        <v>0.764104944148</v>
      </c>
      <c r="D795" t="str">
        <f t="shared" si="6"/>
        <v>2016-01</v>
      </c>
      <c r="G795" s="36">
        <v>42855.0</v>
      </c>
      <c r="H795" s="34">
        <v>0.805457011653</v>
      </c>
      <c r="J795" t="str">
        <f t="shared" si="8"/>
        <v>2017-04</v>
      </c>
      <c r="K795" s="44"/>
      <c r="L795" s="63"/>
      <c r="AB795" s="36">
        <v>42325.0</v>
      </c>
      <c r="AC795" s="4">
        <v>0.758520502377</v>
      </c>
      <c r="AE795" t="str">
        <f t="shared" si="14"/>
        <v>2015-11</v>
      </c>
      <c r="AJ795" s="5"/>
      <c r="AL795" s="36">
        <v>43175.0</v>
      </c>
      <c r="AM795" s="4">
        <v>0.762240960816</v>
      </c>
      <c r="AO795" s="49" t="str">
        <f t="shared" si="18"/>
        <v>2018-03</v>
      </c>
    </row>
    <row r="796">
      <c r="A796" s="36">
        <v>42400.0</v>
      </c>
      <c r="B796" s="34">
        <v>0.813191023273</v>
      </c>
      <c r="D796" t="str">
        <f t="shared" si="6"/>
        <v>2016-01</v>
      </c>
      <c r="G796" s="36">
        <v>42856.0</v>
      </c>
      <c r="H796" s="34">
        <v>0.743068528791</v>
      </c>
      <c r="J796" t="str">
        <f t="shared" si="8"/>
        <v>2017-05</v>
      </c>
      <c r="K796" s="44"/>
      <c r="L796" s="63"/>
      <c r="AB796" s="36">
        <v>42326.0</v>
      </c>
      <c r="AC796" s="4">
        <v>0.619808305486</v>
      </c>
      <c r="AE796" t="str">
        <f t="shared" si="14"/>
        <v>2015-11</v>
      </c>
      <c r="AJ796" s="5"/>
      <c r="AL796" s="36">
        <v>43176.0</v>
      </c>
      <c r="AM796" s="4">
        <v>0.809223379016</v>
      </c>
      <c r="AO796" s="49" t="str">
        <f t="shared" si="18"/>
        <v>2018-03</v>
      </c>
    </row>
    <row r="797">
      <c r="A797" s="36">
        <v>42401.0</v>
      </c>
      <c r="B797" s="34">
        <v>0.647057722463</v>
      </c>
      <c r="D797" t="str">
        <f t="shared" si="6"/>
        <v>2016-02</v>
      </c>
      <c r="G797" s="36">
        <v>42863.0</v>
      </c>
      <c r="H797" s="34">
        <v>0.873271032686</v>
      </c>
      <c r="J797" t="str">
        <f t="shared" si="8"/>
        <v>2017-05</v>
      </c>
      <c r="K797" s="44"/>
      <c r="L797" s="63"/>
      <c r="AB797" s="36">
        <v>42332.0</v>
      </c>
      <c r="AC797" s="4">
        <v>0.740830583195</v>
      </c>
      <c r="AE797" t="str">
        <f t="shared" si="14"/>
        <v>2015-11</v>
      </c>
      <c r="AJ797" s="5"/>
      <c r="AL797" s="36">
        <v>43182.0</v>
      </c>
      <c r="AM797" s="4">
        <v>0.723484290893</v>
      </c>
      <c r="AO797" s="49" t="str">
        <f t="shared" si="18"/>
        <v>2018-03</v>
      </c>
    </row>
    <row r="798">
      <c r="A798" s="36">
        <v>42407.0</v>
      </c>
      <c r="B798" s="34">
        <v>0.769814516476</v>
      </c>
      <c r="D798" t="str">
        <f t="shared" si="6"/>
        <v>2016-02</v>
      </c>
      <c r="G798" s="36">
        <v>42869.0</v>
      </c>
      <c r="H798" s="34">
        <v>0.856568606861</v>
      </c>
      <c r="J798" t="str">
        <f t="shared" si="8"/>
        <v>2017-05</v>
      </c>
      <c r="K798" s="44"/>
      <c r="L798" s="63"/>
      <c r="AB798" s="36">
        <v>42333.0</v>
      </c>
      <c r="AC798" s="4">
        <v>0.427953004718</v>
      </c>
      <c r="AE798" t="str">
        <f t="shared" si="14"/>
        <v>2015-11</v>
      </c>
      <c r="AJ798" s="5"/>
      <c r="AL798" s="36">
        <v>43183.0</v>
      </c>
      <c r="AM798" s="4">
        <v>0.378353665665</v>
      </c>
      <c r="AO798" s="49" t="str">
        <f t="shared" si="18"/>
        <v>2018-03</v>
      </c>
    </row>
    <row r="799">
      <c r="A799" s="36">
        <v>42408.0</v>
      </c>
      <c r="B799" s="34">
        <v>0.725566668184</v>
      </c>
      <c r="D799" t="str">
        <f t="shared" si="6"/>
        <v>2016-02</v>
      </c>
      <c r="G799" s="36">
        <v>42870.0</v>
      </c>
      <c r="H799" s="34">
        <v>0.763828218234</v>
      </c>
      <c r="J799" t="str">
        <f t="shared" si="8"/>
        <v>2017-05</v>
      </c>
      <c r="K799" s="44"/>
      <c r="L799" s="63"/>
      <c r="AB799" s="36">
        <v>42339.0</v>
      </c>
      <c r="AC799" s="4">
        <v>0.609747571326</v>
      </c>
      <c r="AE799" t="str">
        <f t="shared" si="14"/>
        <v>2015-12</v>
      </c>
      <c r="AJ799" s="5"/>
      <c r="AL799" s="36">
        <v>43189.0</v>
      </c>
      <c r="AM799" s="4">
        <v>0.829482525695</v>
      </c>
      <c r="AO799" s="49" t="str">
        <f t="shared" si="18"/>
        <v>2018-03</v>
      </c>
    </row>
    <row r="800">
      <c r="A800" s="36">
        <v>42414.0</v>
      </c>
      <c r="B800" s="34">
        <v>0.743927837696</v>
      </c>
      <c r="D800" t="str">
        <f t="shared" si="6"/>
        <v>2016-02</v>
      </c>
      <c r="G800" s="36">
        <v>42877.0</v>
      </c>
      <c r="H800" s="34">
        <v>0.723767018588</v>
      </c>
      <c r="J800" t="str">
        <f t="shared" si="8"/>
        <v>2017-05</v>
      </c>
      <c r="K800" s="44"/>
      <c r="L800" s="63"/>
      <c r="AB800" s="36">
        <v>42346.0</v>
      </c>
      <c r="AC800" s="4">
        <v>0.74442620176</v>
      </c>
      <c r="AE800" t="str">
        <f t="shared" si="14"/>
        <v>2015-12</v>
      </c>
      <c r="AJ800" s="5"/>
      <c r="AL800" s="36">
        <v>43190.0</v>
      </c>
      <c r="AM800" s="4">
        <v>0.963679976788</v>
      </c>
      <c r="AO800" s="49" t="str">
        <f t="shared" si="18"/>
        <v>2018-03</v>
      </c>
    </row>
    <row r="801">
      <c r="A801" s="36">
        <v>42415.0</v>
      </c>
      <c r="B801" s="34">
        <v>0.595396840663</v>
      </c>
      <c r="D801" t="str">
        <f t="shared" si="6"/>
        <v>2016-02</v>
      </c>
      <c r="G801" s="36">
        <v>42883.0</v>
      </c>
      <c r="H801" s="34">
        <v>0.711746127671</v>
      </c>
      <c r="J801" t="str">
        <f t="shared" si="8"/>
        <v>2017-05</v>
      </c>
      <c r="K801" s="44"/>
      <c r="L801" s="63"/>
      <c r="AB801" s="36">
        <v>42353.0</v>
      </c>
      <c r="AC801" s="4">
        <v>0.688952050175</v>
      </c>
      <c r="AE801" t="str">
        <f t="shared" si="14"/>
        <v>2015-12</v>
      </c>
      <c r="AJ801" s="5"/>
      <c r="AL801" s="36">
        <v>43196.0</v>
      </c>
      <c r="AM801" s="4">
        <v>0.738406794052</v>
      </c>
      <c r="AO801" s="49" t="str">
        <f t="shared" si="18"/>
        <v>2018-04</v>
      </c>
    </row>
    <row r="802">
      <c r="A802" s="36">
        <v>42421.0</v>
      </c>
      <c r="B802" s="34">
        <v>0.726599421486</v>
      </c>
      <c r="D802" t="str">
        <f t="shared" si="6"/>
        <v>2016-02</v>
      </c>
      <c r="G802" s="36">
        <v>42884.0</v>
      </c>
      <c r="H802" s="34">
        <v>0.774351823842</v>
      </c>
      <c r="J802" t="str">
        <f t="shared" si="8"/>
        <v>2017-05</v>
      </c>
      <c r="K802" s="44"/>
      <c r="L802" s="63"/>
      <c r="AB802" s="36">
        <v>42360.0</v>
      </c>
      <c r="AC802" s="4">
        <v>0.698575435132</v>
      </c>
      <c r="AE802" t="str">
        <f t="shared" si="14"/>
        <v>2015-12</v>
      </c>
      <c r="AJ802" s="5"/>
      <c r="AL802" s="36">
        <v>43197.0</v>
      </c>
      <c r="AM802" s="4">
        <v>0.796779019321</v>
      </c>
      <c r="AO802" s="49" t="str">
        <f t="shared" si="18"/>
        <v>2018-04</v>
      </c>
    </row>
    <row r="803">
      <c r="A803" s="36">
        <v>42422.0</v>
      </c>
      <c r="B803" s="34">
        <v>0.747059350686</v>
      </c>
      <c r="D803" t="str">
        <f t="shared" si="6"/>
        <v>2016-02</v>
      </c>
      <c r="G803" s="36">
        <v>42890.0</v>
      </c>
      <c r="H803" s="34">
        <v>0.753994256788</v>
      </c>
      <c r="J803" t="str">
        <f t="shared" si="8"/>
        <v>2017-06</v>
      </c>
      <c r="K803" s="44"/>
      <c r="L803" s="63"/>
      <c r="AB803" s="36">
        <v>42361.0</v>
      </c>
      <c r="AC803" s="4">
        <v>0.587353016915</v>
      </c>
      <c r="AE803" t="str">
        <f t="shared" si="14"/>
        <v>2015-12</v>
      </c>
      <c r="AJ803" s="5"/>
      <c r="AL803" s="36">
        <v>43203.0</v>
      </c>
      <c r="AM803" s="4">
        <v>0.767223770721</v>
      </c>
      <c r="AO803" s="49" t="str">
        <f t="shared" si="18"/>
        <v>2018-04</v>
      </c>
    </row>
    <row r="804">
      <c r="A804" s="36">
        <v>42428.0</v>
      </c>
      <c r="B804" s="34">
        <v>0.770194109144</v>
      </c>
      <c r="D804" t="str">
        <f t="shared" si="6"/>
        <v>2016-02</v>
      </c>
      <c r="G804" s="36">
        <v>42891.0</v>
      </c>
      <c r="H804" s="34">
        <v>0.778417302965</v>
      </c>
      <c r="J804" t="str">
        <f t="shared" si="8"/>
        <v>2017-06</v>
      </c>
      <c r="K804" s="44"/>
      <c r="L804" s="63"/>
      <c r="AB804" s="36">
        <v>42367.0</v>
      </c>
      <c r="AC804" s="4">
        <v>0.678658869157</v>
      </c>
      <c r="AE804" t="str">
        <f t="shared" si="14"/>
        <v>2015-12</v>
      </c>
      <c r="AJ804" s="5"/>
      <c r="AL804" s="36">
        <v>43210.0</v>
      </c>
      <c r="AM804" s="4">
        <v>0.753420892679</v>
      </c>
      <c r="AO804" s="49" t="str">
        <f t="shared" si="18"/>
        <v>2018-04</v>
      </c>
    </row>
    <row r="805">
      <c r="A805" s="36">
        <v>42429.0</v>
      </c>
      <c r="B805" s="34">
        <v>0.715398866573</v>
      </c>
      <c r="D805" t="str">
        <f t="shared" si="6"/>
        <v>2016-02</v>
      </c>
      <c r="G805" s="36">
        <v>42898.0</v>
      </c>
      <c r="H805" s="34">
        <v>0.765877468993</v>
      </c>
      <c r="J805" t="str">
        <f t="shared" si="8"/>
        <v>2017-06</v>
      </c>
      <c r="K805" s="44"/>
      <c r="L805" s="63"/>
      <c r="AB805" s="36">
        <v>42368.0</v>
      </c>
      <c r="AC805" s="4">
        <v>0.704066823089</v>
      </c>
      <c r="AE805" t="str">
        <f t="shared" si="14"/>
        <v>2015-12</v>
      </c>
      <c r="AJ805" s="5"/>
      <c r="AL805" s="36">
        <v>43211.0</v>
      </c>
      <c r="AM805" s="4">
        <v>0.696274121829</v>
      </c>
      <c r="AO805" s="49" t="str">
        <f t="shared" si="18"/>
        <v>2018-04</v>
      </c>
    </row>
    <row r="806">
      <c r="A806" s="36">
        <v>42435.0</v>
      </c>
      <c r="B806" s="34">
        <v>0.734981500489</v>
      </c>
      <c r="D806" t="str">
        <f t="shared" si="6"/>
        <v>2016-03</v>
      </c>
      <c r="G806" s="36">
        <v>42904.0</v>
      </c>
      <c r="H806" s="34">
        <v>0.756382060574</v>
      </c>
      <c r="J806" t="str">
        <f t="shared" si="8"/>
        <v>2017-06</v>
      </c>
      <c r="K806" s="44"/>
      <c r="L806" s="63"/>
      <c r="AB806" s="36">
        <v>42374.0</v>
      </c>
      <c r="AC806" s="4">
        <v>0.680543960048</v>
      </c>
      <c r="AE806" t="str">
        <f t="shared" si="14"/>
        <v>2016-01</v>
      </c>
      <c r="AJ806" s="5"/>
    </row>
    <row r="807">
      <c r="A807" s="36">
        <v>42436.0</v>
      </c>
      <c r="B807" s="34">
        <v>0.758844058091</v>
      </c>
      <c r="D807" t="str">
        <f t="shared" si="6"/>
        <v>2016-03</v>
      </c>
      <c r="G807" s="36">
        <v>42905.0</v>
      </c>
      <c r="H807" s="34">
        <v>0.786286803203</v>
      </c>
      <c r="J807" t="str">
        <f t="shared" si="8"/>
        <v>2017-06</v>
      </c>
      <c r="K807" s="44"/>
      <c r="L807" s="63"/>
      <c r="AB807" s="36">
        <v>42375.0</v>
      </c>
      <c r="AC807" s="4">
        <v>0.80797040885</v>
      </c>
      <c r="AE807" t="str">
        <f t="shared" si="14"/>
        <v>2016-01</v>
      </c>
      <c r="AJ807" s="5"/>
    </row>
    <row r="808">
      <c r="A808" s="36">
        <v>42442.0</v>
      </c>
      <c r="B808" s="34">
        <v>0.785747276695</v>
      </c>
      <c r="D808" t="str">
        <f t="shared" si="6"/>
        <v>2016-03</v>
      </c>
      <c r="G808" s="36">
        <v>42911.0</v>
      </c>
      <c r="H808" s="34">
        <v>0.449697723787</v>
      </c>
      <c r="J808" t="str">
        <f t="shared" si="8"/>
        <v>2017-06</v>
      </c>
      <c r="K808" s="44"/>
      <c r="L808" s="63"/>
      <c r="AB808" s="36">
        <v>42381.0</v>
      </c>
      <c r="AC808" s="4">
        <v>0.748053890649</v>
      </c>
      <c r="AE808" t="str">
        <f t="shared" si="14"/>
        <v>2016-01</v>
      </c>
      <c r="AJ808" s="5"/>
    </row>
    <row r="809">
      <c r="A809" s="36">
        <v>42443.0</v>
      </c>
      <c r="B809" s="34">
        <v>0.772689244054</v>
      </c>
      <c r="D809" t="str">
        <f t="shared" si="6"/>
        <v>2016-03</v>
      </c>
      <c r="G809" s="36">
        <v>42912.0</v>
      </c>
      <c r="H809" s="34">
        <v>0.72947636618</v>
      </c>
      <c r="J809" t="str">
        <f t="shared" si="8"/>
        <v>2017-06</v>
      </c>
      <c r="K809" s="44"/>
      <c r="L809" s="63"/>
      <c r="AB809" s="36">
        <v>42388.0</v>
      </c>
      <c r="AC809" s="4">
        <v>0.696635404106</v>
      </c>
      <c r="AE809" t="str">
        <f t="shared" si="14"/>
        <v>2016-01</v>
      </c>
      <c r="AJ809" s="5"/>
    </row>
    <row r="810">
      <c r="A810" s="36">
        <v>42449.0</v>
      </c>
      <c r="B810" s="34">
        <v>0.760027511169</v>
      </c>
      <c r="D810" t="str">
        <f t="shared" si="6"/>
        <v>2016-03</v>
      </c>
      <c r="G810" s="36">
        <v>42918.0</v>
      </c>
      <c r="H810" s="34">
        <v>0.79793752774</v>
      </c>
      <c r="J810" t="str">
        <f t="shared" si="8"/>
        <v>2017-07</v>
      </c>
      <c r="K810" s="44"/>
      <c r="L810" s="63"/>
      <c r="AB810" s="36">
        <v>42389.0</v>
      </c>
      <c r="AC810" s="4">
        <v>0.762670035273</v>
      </c>
      <c r="AE810" t="str">
        <f t="shared" si="14"/>
        <v>2016-01</v>
      </c>
      <c r="AJ810" s="5"/>
    </row>
    <row r="811">
      <c r="A811" s="36">
        <v>42450.0</v>
      </c>
      <c r="B811" s="34">
        <v>0.822320146854</v>
      </c>
      <c r="D811" t="str">
        <f t="shared" si="6"/>
        <v>2016-03</v>
      </c>
      <c r="G811" s="36">
        <v>42919.0</v>
      </c>
      <c r="H811" s="34">
        <v>0.774574086852</v>
      </c>
      <c r="J811" t="str">
        <f t="shared" si="8"/>
        <v>2017-07</v>
      </c>
      <c r="K811" s="44"/>
      <c r="L811" s="63"/>
      <c r="AB811" s="36">
        <v>42395.0</v>
      </c>
      <c r="AC811" s="4">
        <v>0.606040707006</v>
      </c>
      <c r="AE811" t="str">
        <f t="shared" si="14"/>
        <v>2016-01</v>
      </c>
      <c r="AJ811" s="5"/>
    </row>
    <row r="812">
      <c r="A812" s="36">
        <v>42456.0</v>
      </c>
      <c r="B812" s="34">
        <v>0.748401334188</v>
      </c>
      <c r="D812" t="str">
        <f t="shared" si="6"/>
        <v>2016-03</v>
      </c>
      <c r="G812" s="36">
        <v>42926.0</v>
      </c>
      <c r="H812" s="34">
        <v>0.786518517441</v>
      </c>
      <c r="J812" t="str">
        <f t="shared" si="8"/>
        <v>2017-07</v>
      </c>
      <c r="K812" s="44"/>
      <c r="L812" s="63"/>
      <c r="AB812" s="36">
        <v>42396.0</v>
      </c>
      <c r="AC812" s="4">
        <v>0.547930429001</v>
      </c>
      <c r="AE812" t="str">
        <f t="shared" si="14"/>
        <v>2016-01</v>
      </c>
      <c r="AJ812" s="5"/>
    </row>
    <row r="813">
      <c r="A813" s="36">
        <v>42457.0</v>
      </c>
      <c r="B813" s="34">
        <v>0.759292782523</v>
      </c>
      <c r="D813" t="str">
        <f t="shared" si="6"/>
        <v>2016-03</v>
      </c>
      <c r="G813" s="36">
        <v>42932.0</v>
      </c>
      <c r="H813" s="34">
        <v>0.819860438485</v>
      </c>
      <c r="J813" t="str">
        <f t="shared" si="8"/>
        <v>2017-07</v>
      </c>
      <c r="K813" s="44"/>
      <c r="L813" s="63"/>
      <c r="AB813" s="36">
        <v>42402.0</v>
      </c>
      <c r="AC813" s="4">
        <v>0.69637358074</v>
      </c>
      <c r="AE813" t="str">
        <f t="shared" si="14"/>
        <v>2016-02</v>
      </c>
      <c r="AJ813" s="5"/>
    </row>
    <row r="814">
      <c r="A814" s="36">
        <v>42463.0</v>
      </c>
      <c r="B814" s="34">
        <v>0.604466985469</v>
      </c>
      <c r="D814" t="str">
        <f t="shared" si="6"/>
        <v>2016-04</v>
      </c>
      <c r="G814" s="36">
        <v>42933.0</v>
      </c>
      <c r="H814" s="34">
        <v>0.745099645153</v>
      </c>
      <c r="J814" t="str">
        <f t="shared" si="8"/>
        <v>2017-07</v>
      </c>
      <c r="K814" s="44"/>
      <c r="L814" s="63"/>
      <c r="AB814" s="36">
        <v>42403.0</v>
      </c>
      <c r="AC814" s="4">
        <v>0.703190324751</v>
      </c>
      <c r="AE814" t="str">
        <f t="shared" si="14"/>
        <v>2016-02</v>
      </c>
      <c r="AJ814" s="5"/>
    </row>
    <row r="815">
      <c r="A815" s="36">
        <v>42464.0</v>
      </c>
      <c r="B815" s="34">
        <v>0.786432987058</v>
      </c>
      <c r="D815" t="str">
        <f t="shared" si="6"/>
        <v>2016-04</v>
      </c>
      <c r="G815" s="36">
        <v>42939.0</v>
      </c>
      <c r="H815" s="34">
        <v>0.745524011072</v>
      </c>
      <c r="J815" t="str">
        <f t="shared" si="8"/>
        <v>2017-07</v>
      </c>
      <c r="K815" s="44"/>
      <c r="L815" s="63"/>
      <c r="AB815" s="36">
        <v>42409.0</v>
      </c>
      <c r="AC815" s="4">
        <v>0.710133686317</v>
      </c>
      <c r="AE815" t="str">
        <f t="shared" si="14"/>
        <v>2016-02</v>
      </c>
      <c r="AJ815" s="5"/>
    </row>
    <row r="816">
      <c r="A816" s="36">
        <v>42470.0</v>
      </c>
      <c r="B816" s="34">
        <v>0.716954809854</v>
      </c>
      <c r="D816" t="str">
        <f t="shared" si="6"/>
        <v>2016-04</v>
      </c>
      <c r="G816" s="36">
        <v>42940.0</v>
      </c>
      <c r="H816" s="34">
        <v>0.78434700417</v>
      </c>
      <c r="J816" t="str">
        <f t="shared" si="8"/>
        <v>2017-07</v>
      </c>
      <c r="K816" s="44"/>
      <c r="L816" s="63"/>
      <c r="AB816" s="36">
        <v>42410.0</v>
      </c>
      <c r="AC816" s="4">
        <v>0.638862455954</v>
      </c>
      <c r="AE816" t="str">
        <f t="shared" si="14"/>
        <v>2016-02</v>
      </c>
      <c r="AJ816" s="5"/>
    </row>
    <row r="817">
      <c r="A817" s="36">
        <v>42471.0</v>
      </c>
      <c r="B817" s="34">
        <v>0.787938035795</v>
      </c>
      <c r="D817" t="str">
        <f t="shared" si="6"/>
        <v>2016-04</v>
      </c>
      <c r="G817" s="36">
        <v>42946.0</v>
      </c>
      <c r="H817" s="34">
        <v>0.716980046084</v>
      </c>
      <c r="J817" t="str">
        <f t="shared" si="8"/>
        <v>2017-07</v>
      </c>
      <c r="K817" s="44"/>
      <c r="L817" s="63"/>
      <c r="AB817" s="36">
        <v>42416.0</v>
      </c>
      <c r="AC817" s="4">
        <v>0.671786919688</v>
      </c>
      <c r="AE817" t="str">
        <f t="shared" si="14"/>
        <v>2016-02</v>
      </c>
      <c r="AJ817" s="5"/>
    </row>
    <row r="818">
      <c r="A818" s="36">
        <v>42477.0</v>
      </c>
      <c r="B818" s="34">
        <v>0.766533251105</v>
      </c>
      <c r="D818" t="str">
        <f t="shared" si="6"/>
        <v>2016-04</v>
      </c>
      <c r="G818" s="36">
        <v>42947.0</v>
      </c>
      <c r="H818" s="34">
        <v>0.775997591113</v>
      </c>
      <c r="J818" t="str">
        <f t="shared" si="8"/>
        <v>2017-07</v>
      </c>
      <c r="K818" s="44"/>
      <c r="L818" s="63"/>
      <c r="AB818" s="36">
        <v>42417.0</v>
      </c>
      <c r="AC818" s="4">
        <v>0.428524976815</v>
      </c>
      <c r="AE818" t="str">
        <f t="shared" si="14"/>
        <v>2016-02</v>
      </c>
      <c r="AJ818" s="5"/>
    </row>
    <row r="819">
      <c r="A819" s="36">
        <v>42478.0</v>
      </c>
      <c r="B819" s="34">
        <v>0.730602587701</v>
      </c>
      <c r="D819" t="str">
        <f t="shared" si="6"/>
        <v>2016-04</v>
      </c>
      <c r="G819" s="36">
        <v>42953.0</v>
      </c>
      <c r="H819" s="34">
        <v>0.72339927334</v>
      </c>
      <c r="J819" t="str">
        <f t="shared" si="8"/>
        <v>2017-08</v>
      </c>
      <c r="K819" s="44"/>
      <c r="L819" s="63"/>
      <c r="AB819" s="36">
        <v>42423.0</v>
      </c>
      <c r="AC819" s="4">
        <v>0.692288954502</v>
      </c>
      <c r="AE819" t="str">
        <f t="shared" si="14"/>
        <v>2016-02</v>
      </c>
      <c r="AJ819" s="5"/>
    </row>
    <row r="820">
      <c r="A820" s="36">
        <v>42484.0</v>
      </c>
      <c r="B820" s="34">
        <v>0.758159652736</v>
      </c>
      <c r="D820" t="str">
        <f t="shared" si="6"/>
        <v>2016-04</v>
      </c>
      <c r="G820" s="36">
        <v>42954.0</v>
      </c>
      <c r="H820" s="34">
        <v>0.766914176023</v>
      </c>
      <c r="J820" t="str">
        <f t="shared" si="8"/>
        <v>2017-08</v>
      </c>
      <c r="K820" s="44"/>
      <c r="L820" s="63"/>
      <c r="AB820" s="36">
        <v>42424.0</v>
      </c>
      <c r="AC820" s="4">
        <v>0.731257708316</v>
      </c>
      <c r="AE820" t="str">
        <f t="shared" si="14"/>
        <v>2016-02</v>
      </c>
      <c r="AJ820" s="5"/>
    </row>
    <row r="821">
      <c r="A821" s="36">
        <v>42485.0</v>
      </c>
      <c r="B821" s="34">
        <v>0.688771160268</v>
      </c>
      <c r="D821" t="str">
        <f t="shared" si="6"/>
        <v>2016-04</v>
      </c>
      <c r="G821" s="36">
        <v>42960.0</v>
      </c>
      <c r="H821" s="34">
        <v>0.759676576324</v>
      </c>
      <c r="J821" t="str">
        <f t="shared" si="8"/>
        <v>2017-08</v>
      </c>
      <c r="K821" s="44"/>
      <c r="L821" s="63"/>
      <c r="AB821" s="36">
        <v>42430.0</v>
      </c>
      <c r="AC821" s="4">
        <v>0.666083567269</v>
      </c>
      <c r="AE821" t="str">
        <f t="shared" si="14"/>
        <v>2016-03</v>
      </c>
      <c r="AJ821" s="5"/>
    </row>
    <row r="822">
      <c r="A822" s="36">
        <v>42491.0</v>
      </c>
      <c r="B822" s="34">
        <v>0.785941289602</v>
      </c>
      <c r="D822" t="str">
        <f t="shared" si="6"/>
        <v>2016-05</v>
      </c>
      <c r="G822" s="36">
        <v>42961.0</v>
      </c>
      <c r="H822" s="34">
        <v>0.767391638039</v>
      </c>
      <c r="J822" t="str">
        <f t="shared" si="8"/>
        <v>2017-08</v>
      </c>
      <c r="K822" s="44"/>
      <c r="L822" s="63"/>
      <c r="AB822" s="36">
        <v>42431.0</v>
      </c>
      <c r="AC822" s="4">
        <v>0.554583007187</v>
      </c>
      <c r="AE822" t="str">
        <f t="shared" si="14"/>
        <v>2016-03</v>
      </c>
      <c r="AJ822" s="5"/>
    </row>
    <row r="823">
      <c r="A823" s="36">
        <v>42492.0</v>
      </c>
      <c r="B823" s="34">
        <v>0.73803350636</v>
      </c>
      <c r="D823" t="str">
        <f t="shared" si="6"/>
        <v>2016-05</v>
      </c>
      <c r="E823" s="4"/>
      <c r="AB823" s="36">
        <v>42437.0</v>
      </c>
      <c r="AC823" s="4">
        <v>0.713498143133</v>
      </c>
      <c r="AE823" t="str">
        <f t="shared" si="14"/>
        <v>2016-03</v>
      </c>
      <c r="AJ823" s="5"/>
    </row>
    <row r="824">
      <c r="A824" s="36">
        <v>42498.0</v>
      </c>
      <c r="B824" s="34">
        <v>0.692116439226</v>
      </c>
      <c r="D824" t="str">
        <f t="shared" si="6"/>
        <v>2016-05</v>
      </c>
      <c r="AB824" s="36">
        <v>42444.0</v>
      </c>
      <c r="AC824" s="4">
        <v>0.737136310724</v>
      </c>
      <c r="AE824" t="str">
        <f t="shared" si="14"/>
        <v>2016-03</v>
      </c>
      <c r="AJ824" s="5"/>
    </row>
    <row r="825">
      <c r="A825" s="36">
        <v>42499.0</v>
      </c>
      <c r="B825" s="34">
        <v>0.742449309393</v>
      </c>
      <c r="D825" t="str">
        <f t="shared" si="6"/>
        <v>2016-05</v>
      </c>
      <c r="AB825" s="36">
        <v>42445.0</v>
      </c>
      <c r="AC825" s="4">
        <v>0.694626346266</v>
      </c>
      <c r="AE825" t="str">
        <f t="shared" si="14"/>
        <v>2016-03</v>
      </c>
      <c r="AJ825" s="5"/>
    </row>
    <row r="826">
      <c r="A826" s="36">
        <v>42505.0</v>
      </c>
      <c r="B826" s="34">
        <v>0.828729228501</v>
      </c>
      <c r="D826" t="str">
        <f t="shared" si="6"/>
        <v>2016-05</v>
      </c>
      <c r="AB826" s="36">
        <v>42451.0</v>
      </c>
      <c r="AC826" s="4">
        <v>0.761327396511</v>
      </c>
      <c r="AE826" t="str">
        <f t="shared" si="14"/>
        <v>2016-03</v>
      </c>
      <c r="AJ826" s="5"/>
    </row>
    <row r="827">
      <c r="A827" s="36">
        <v>42506.0</v>
      </c>
      <c r="B827" s="34">
        <v>0.74377823658</v>
      </c>
      <c r="D827" t="str">
        <f t="shared" si="6"/>
        <v>2016-05</v>
      </c>
      <c r="AB827" s="36">
        <v>42458.0</v>
      </c>
      <c r="AC827" s="4">
        <v>0.705967129519</v>
      </c>
      <c r="AE827" t="str">
        <f t="shared" si="14"/>
        <v>2016-03</v>
      </c>
      <c r="AJ827" s="5"/>
    </row>
    <row r="828">
      <c r="A828" s="36">
        <v>42512.0</v>
      </c>
      <c r="B828" s="34">
        <v>0.728264128819</v>
      </c>
      <c r="D828" t="str">
        <f t="shared" si="6"/>
        <v>2016-05</v>
      </c>
      <c r="AB828" s="36">
        <v>42459.0</v>
      </c>
      <c r="AC828" s="4">
        <v>0.719163402576</v>
      </c>
      <c r="AE828" t="str">
        <f t="shared" si="14"/>
        <v>2016-03</v>
      </c>
      <c r="AJ828" s="5"/>
    </row>
    <row r="829">
      <c r="A829" s="36">
        <v>42513.0</v>
      </c>
      <c r="B829" s="34">
        <v>0.778553107683</v>
      </c>
      <c r="D829" t="str">
        <f t="shared" si="6"/>
        <v>2016-05</v>
      </c>
      <c r="AB829" s="36">
        <v>42465.0</v>
      </c>
      <c r="AC829" s="4">
        <v>0.737540893468</v>
      </c>
      <c r="AE829" t="str">
        <f t="shared" si="14"/>
        <v>2016-04</v>
      </c>
      <c r="AJ829" s="5"/>
    </row>
    <row r="830">
      <c r="A830" s="36">
        <v>42519.0</v>
      </c>
      <c r="B830" s="34">
        <v>0.80836091748</v>
      </c>
      <c r="D830" t="str">
        <f t="shared" si="6"/>
        <v>2016-05</v>
      </c>
      <c r="AB830" s="36">
        <v>42466.0</v>
      </c>
      <c r="AC830" s="4">
        <v>0.728778691056</v>
      </c>
      <c r="AE830" t="str">
        <f t="shared" si="14"/>
        <v>2016-04</v>
      </c>
      <c r="AJ830" s="5"/>
    </row>
    <row r="831">
      <c r="A831" s="36">
        <v>42520.0</v>
      </c>
      <c r="B831" s="34">
        <v>0.777373657802</v>
      </c>
      <c r="D831" t="str">
        <f t="shared" si="6"/>
        <v>2016-05</v>
      </c>
      <c r="AB831" s="36">
        <v>42472.0</v>
      </c>
      <c r="AC831" s="4">
        <v>0.64548907522</v>
      </c>
      <c r="AE831" t="str">
        <f t="shared" si="14"/>
        <v>2016-04</v>
      </c>
      <c r="AJ831" s="5"/>
    </row>
    <row r="832">
      <c r="A832" s="36">
        <v>42526.0</v>
      </c>
      <c r="B832" s="34">
        <v>0.767083828835</v>
      </c>
      <c r="D832" t="str">
        <f t="shared" si="6"/>
        <v>2016-06</v>
      </c>
      <c r="AB832" s="36">
        <v>42473.0</v>
      </c>
      <c r="AC832" s="4">
        <v>0.698334949698</v>
      </c>
      <c r="AE832" t="str">
        <f t="shared" si="14"/>
        <v>2016-04</v>
      </c>
      <c r="AJ832" s="5"/>
    </row>
    <row r="833">
      <c r="A833" s="36">
        <v>42527.0</v>
      </c>
      <c r="B833" s="34">
        <v>0.732664387924</v>
      </c>
      <c r="D833" t="str">
        <f t="shared" si="6"/>
        <v>2016-06</v>
      </c>
      <c r="AB833" s="36">
        <v>42479.0</v>
      </c>
      <c r="AC833" s="4">
        <v>0.713962692904</v>
      </c>
      <c r="AE833" t="str">
        <f t="shared" si="14"/>
        <v>2016-04</v>
      </c>
      <c r="AJ833" s="5"/>
    </row>
    <row r="834">
      <c r="A834" s="36">
        <v>42533.0</v>
      </c>
      <c r="B834" s="34">
        <v>0.71524531392</v>
      </c>
      <c r="D834" t="str">
        <f t="shared" si="6"/>
        <v>2016-06</v>
      </c>
      <c r="AB834" s="36">
        <v>42480.0</v>
      </c>
      <c r="AC834" s="4">
        <v>0.646326459148</v>
      </c>
      <c r="AE834" t="str">
        <f t="shared" si="14"/>
        <v>2016-04</v>
      </c>
      <c r="AJ834" s="5"/>
    </row>
    <row r="835">
      <c r="A835" s="36">
        <v>42534.0</v>
      </c>
      <c r="B835" s="34">
        <v>0.781833406916</v>
      </c>
      <c r="D835" t="str">
        <f t="shared" si="6"/>
        <v>2016-06</v>
      </c>
      <c r="AB835" s="36">
        <v>42486.0</v>
      </c>
      <c r="AC835" s="4">
        <v>0.699975432969</v>
      </c>
      <c r="AE835" t="str">
        <f t="shared" si="14"/>
        <v>2016-04</v>
      </c>
      <c r="AJ835" s="5"/>
    </row>
    <row r="836">
      <c r="A836" s="36">
        <v>42540.0</v>
      </c>
      <c r="B836" s="34">
        <v>0.797568611946</v>
      </c>
      <c r="D836" t="str">
        <f t="shared" si="6"/>
        <v>2016-06</v>
      </c>
      <c r="AB836" s="36">
        <v>42487.0</v>
      </c>
      <c r="AC836" s="4">
        <v>0.69641848523</v>
      </c>
      <c r="AE836" t="str">
        <f t="shared" si="14"/>
        <v>2016-04</v>
      </c>
      <c r="AJ836" s="5"/>
    </row>
    <row r="837">
      <c r="A837" s="36">
        <v>42541.0</v>
      </c>
      <c r="B837" s="34">
        <v>0.711092366366</v>
      </c>
      <c r="D837" t="str">
        <f t="shared" si="6"/>
        <v>2016-06</v>
      </c>
      <c r="AB837" s="36">
        <v>42493.0</v>
      </c>
      <c r="AC837" s="4">
        <v>0.692636652654</v>
      </c>
      <c r="AE837" t="str">
        <f t="shared" si="14"/>
        <v>2016-05</v>
      </c>
      <c r="AJ837" s="5"/>
    </row>
    <row r="838">
      <c r="A838" s="36">
        <v>42548.0</v>
      </c>
      <c r="B838" s="34">
        <v>0.733948894076</v>
      </c>
      <c r="D838" t="str">
        <f t="shared" si="6"/>
        <v>2016-06</v>
      </c>
      <c r="AB838" s="36">
        <v>42494.0</v>
      </c>
      <c r="AC838" s="4">
        <v>0.762800281655</v>
      </c>
      <c r="AE838" t="str">
        <f t="shared" si="14"/>
        <v>2016-05</v>
      </c>
      <c r="AJ838" s="5"/>
    </row>
    <row r="839">
      <c r="A839" s="36">
        <v>42555.0</v>
      </c>
      <c r="B839" s="34">
        <v>0.771632031913</v>
      </c>
      <c r="D839" t="str">
        <f t="shared" si="6"/>
        <v>2016-07</v>
      </c>
      <c r="AB839" s="36">
        <v>42500.0</v>
      </c>
      <c r="AC839" s="4">
        <v>0.730422685759</v>
      </c>
      <c r="AE839" t="str">
        <f t="shared" si="14"/>
        <v>2016-05</v>
      </c>
      <c r="AJ839" s="5"/>
    </row>
    <row r="840">
      <c r="A840" s="36">
        <v>42561.0</v>
      </c>
      <c r="B840" s="34">
        <v>0.874890634948</v>
      </c>
      <c r="D840" t="str">
        <f t="shared" si="6"/>
        <v>2016-07</v>
      </c>
      <c r="AB840" s="36">
        <v>42501.0</v>
      </c>
      <c r="AC840" s="4">
        <v>0.631734893801</v>
      </c>
      <c r="AE840" t="str">
        <f t="shared" si="14"/>
        <v>2016-05</v>
      </c>
      <c r="AJ840" s="5"/>
    </row>
    <row r="841">
      <c r="A841" s="36">
        <v>42562.0</v>
      </c>
      <c r="B841" s="34">
        <v>0.755869922215</v>
      </c>
      <c r="D841" t="str">
        <f t="shared" si="6"/>
        <v>2016-07</v>
      </c>
      <c r="AB841" s="36">
        <v>42507.0</v>
      </c>
      <c r="AC841" s="4">
        <v>0.684841521743</v>
      </c>
      <c r="AE841" t="str">
        <f t="shared" si="14"/>
        <v>2016-05</v>
      </c>
      <c r="AJ841" s="5"/>
    </row>
    <row r="842">
      <c r="A842" s="36">
        <v>42569.0</v>
      </c>
      <c r="B842" s="34">
        <v>0.746444853199</v>
      </c>
      <c r="D842" t="str">
        <f t="shared" si="6"/>
        <v>2016-07</v>
      </c>
      <c r="AB842" s="36">
        <v>42508.0</v>
      </c>
      <c r="AC842" s="4">
        <v>0.698334949698</v>
      </c>
      <c r="AE842" t="str">
        <f t="shared" si="14"/>
        <v>2016-05</v>
      </c>
      <c r="AJ842" s="5"/>
    </row>
    <row r="843">
      <c r="A843" s="36">
        <v>42575.0</v>
      </c>
      <c r="B843" s="34">
        <v>0.653802044855</v>
      </c>
      <c r="D843" t="str">
        <f t="shared" si="6"/>
        <v>2016-07</v>
      </c>
      <c r="AB843" s="36">
        <v>42514.0</v>
      </c>
      <c r="AC843" s="4">
        <v>0.71019034843</v>
      </c>
      <c r="AE843" t="str">
        <f t="shared" si="14"/>
        <v>2016-05</v>
      </c>
      <c r="AJ843" s="5"/>
    </row>
    <row r="844">
      <c r="A844" s="36">
        <v>42576.0</v>
      </c>
      <c r="B844" s="34">
        <v>0.730699755731</v>
      </c>
      <c r="D844" t="str">
        <f t="shared" si="6"/>
        <v>2016-07</v>
      </c>
      <c r="AB844" s="36">
        <v>42515.0</v>
      </c>
      <c r="AC844" s="4">
        <v>0.76081879607</v>
      </c>
      <c r="AE844" t="str">
        <f t="shared" si="14"/>
        <v>2016-05</v>
      </c>
      <c r="AJ844" s="5"/>
    </row>
    <row r="845">
      <c r="A845" s="36">
        <v>42583.0</v>
      </c>
      <c r="B845" s="34">
        <v>0.725507052841</v>
      </c>
      <c r="D845" t="str">
        <f t="shared" si="6"/>
        <v>2016-08</v>
      </c>
      <c r="AB845" s="36">
        <v>42521.0</v>
      </c>
      <c r="AC845" s="4">
        <v>0.741687446306</v>
      </c>
      <c r="AE845" t="str">
        <f t="shared" si="14"/>
        <v>2016-05</v>
      </c>
      <c r="AJ845" s="5"/>
    </row>
    <row r="846">
      <c r="A846" s="36">
        <v>42590.0</v>
      </c>
      <c r="B846" s="34">
        <v>0.740167118247</v>
      </c>
      <c r="D846" t="str">
        <f t="shared" si="6"/>
        <v>2016-08</v>
      </c>
      <c r="AB846" s="36">
        <v>42522.0</v>
      </c>
      <c r="AC846" s="4">
        <v>0.726649070458</v>
      </c>
      <c r="AE846" t="str">
        <f t="shared" si="14"/>
        <v>2016-06</v>
      </c>
      <c r="AJ846" s="5"/>
    </row>
    <row r="847">
      <c r="A847" s="36">
        <v>42597.0</v>
      </c>
      <c r="B847" s="34">
        <v>0.711169551792</v>
      </c>
      <c r="D847" t="str">
        <f t="shared" si="6"/>
        <v>2016-08</v>
      </c>
      <c r="AB847" s="36">
        <v>42528.0</v>
      </c>
      <c r="AC847" s="4">
        <v>0.715602714069</v>
      </c>
      <c r="AE847" t="str">
        <f t="shared" si="14"/>
        <v>2016-06</v>
      </c>
      <c r="AJ847" s="5"/>
    </row>
    <row r="848">
      <c r="A848" s="36">
        <v>42604.0</v>
      </c>
      <c r="B848" s="34">
        <v>0.810758664733</v>
      </c>
      <c r="D848" t="str">
        <f t="shared" si="6"/>
        <v>2016-08</v>
      </c>
      <c r="AB848" s="36">
        <v>42529.0</v>
      </c>
      <c r="AC848" s="4">
        <v>0.699642136059</v>
      </c>
      <c r="AE848" t="str">
        <f t="shared" si="14"/>
        <v>2016-06</v>
      </c>
      <c r="AJ848" s="5"/>
    </row>
    <row r="849">
      <c r="A849" s="36">
        <v>42611.0</v>
      </c>
      <c r="B849" s="34">
        <v>0.785497251728</v>
      </c>
      <c r="D849" t="str">
        <f t="shared" si="6"/>
        <v>2016-08</v>
      </c>
      <c r="AB849" s="36">
        <v>42535.0</v>
      </c>
      <c r="AC849" s="4">
        <v>0.685611878623</v>
      </c>
      <c r="AE849" t="str">
        <f t="shared" si="14"/>
        <v>2016-06</v>
      </c>
      <c r="AJ849" s="5"/>
    </row>
    <row r="850">
      <c r="A850" s="36">
        <v>42618.0</v>
      </c>
      <c r="B850" s="34">
        <v>0.726070136751</v>
      </c>
      <c r="D850" t="str">
        <f t="shared" si="6"/>
        <v>2016-09</v>
      </c>
      <c r="AB850" s="36">
        <v>42536.0</v>
      </c>
      <c r="AC850" s="4">
        <v>0.717756554765</v>
      </c>
      <c r="AE850" t="str">
        <f t="shared" si="14"/>
        <v>2016-06</v>
      </c>
      <c r="AJ850" s="5"/>
    </row>
    <row r="851">
      <c r="A851" s="36">
        <v>42625.0</v>
      </c>
      <c r="B851" s="34">
        <v>0.675991568312</v>
      </c>
      <c r="D851" t="str">
        <f t="shared" si="6"/>
        <v>2016-09</v>
      </c>
      <c r="AB851" s="36">
        <v>42542.0</v>
      </c>
      <c r="AC851" s="4">
        <v>0.744195897178</v>
      </c>
      <c r="AE851" t="str">
        <f t="shared" si="14"/>
        <v>2016-06</v>
      </c>
      <c r="AJ851" s="5"/>
    </row>
    <row r="852">
      <c r="A852" s="36">
        <v>42632.0</v>
      </c>
      <c r="B852" s="34">
        <v>0.715816196288</v>
      </c>
      <c r="D852" t="str">
        <f t="shared" si="6"/>
        <v>2016-09</v>
      </c>
      <c r="AB852" s="36">
        <v>42543.0</v>
      </c>
      <c r="AC852" s="4">
        <v>0.762110768731</v>
      </c>
      <c r="AE852" t="str">
        <f t="shared" si="14"/>
        <v>2016-06</v>
      </c>
      <c r="AJ852" s="5"/>
    </row>
    <row r="853">
      <c r="A853" s="36">
        <v>42639.0</v>
      </c>
      <c r="B853" s="34">
        <v>0.700829378266</v>
      </c>
      <c r="D853" t="str">
        <f t="shared" si="6"/>
        <v>2016-09</v>
      </c>
      <c r="AB853" s="36">
        <v>42549.0</v>
      </c>
      <c r="AC853" s="4">
        <v>0.662793380908</v>
      </c>
      <c r="AE853" t="str">
        <f t="shared" si="14"/>
        <v>2016-06</v>
      </c>
      <c r="AJ853" s="5"/>
    </row>
    <row r="854">
      <c r="A854" s="36">
        <v>42646.0</v>
      </c>
      <c r="B854" s="34">
        <v>0.71978538556</v>
      </c>
      <c r="D854" t="str">
        <f t="shared" si="6"/>
        <v>2016-10</v>
      </c>
      <c r="AB854" s="36">
        <v>42550.0</v>
      </c>
      <c r="AC854" s="4">
        <v>0.761364464358</v>
      </c>
      <c r="AE854" t="str">
        <f t="shared" si="14"/>
        <v>2016-06</v>
      </c>
      <c r="AJ854" s="5"/>
    </row>
    <row r="855">
      <c r="A855" s="36">
        <v>42653.0</v>
      </c>
      <c r="B855" s="34">
        <v>0.768918706544</v>
      </c>
      <c r="D855" t="str">
        <f t="shared" si="6"/>
        <v>2016-10</v>
      </c>
      <c r="AB855" s="36">
        <v>42556.0</v>
      </c>
      <c r="AC855" s="4">
        <v>0.712637622755</v>
      </c>
      <c r="AE855" t="str">
        <f t="shared" si="14"/>
        <v>2016-07</v>
      </c>
      <c r="AJ855" s="5"/>
    </row>
    <row r="856">
      <c r="A856" s="36">
        <v>42660.0</v>
      </c>
      <c r="B856" s="34">
        <v>0.727077984485</v>
      </c>
      <c r="D856" t="str">
        <f t="shared" si="6"/>
        <v>2016-10</v>
      </c>
      <c r="AB856" s="36">
        <v>42557.0</v>
      </c>
      <c r="AC856" s="4">
        <v>0.697669623268</v>
      </c>
      <c r="AE856" t="str">
        <f t="shared" si="14"/>
        <v>2016-07</v>
      </c>
      <c r="AJ856" s="5"/>
    </row>
    <row r="857">
      <c r="A857" s="36">
        <v>42667.0</v>
      </c>
      <c r="B857" s="34">
        <v>0.749660983224</v>
      </c>
      <c r="D857" t="str">
        <f t="shared" si="6"/>
        <v>2016-10</v>
      </c>
      <c r="AB857" s="36">
        <v>42563.0</v>
      </c>
      <c r="AC857" s="4">
        <v>0.743083620847</v>
      </c>
      <c r="AE857" t="str">
        <f t="shared" si="14"/>
        <v>2016-07</v>
      </c>
      <c r="AJ857" s="5"/>
    </row>
    <row r="858">
      <c r="A858" s="36">
        <v>42674.0</v>
      </c>
      <c r="B858" s="34">
        <v>0.630655089634</v>
      </c>
      <c r="D858" t="str">
        <f t="shared" si="6"/>
        <v>2016-10</v>
      </c>
      <c r="AB858" s="36">
        <v>42564.0</v>
      </c>
      <c r="AC858" s="4">
        <v>0.789226386009</v>
      </c>
      <c r="AE858" t="str">
        <f t="shared" si="14"/>
        <v>2016-07</v>
      </c>
      <c r="AJ858" s="5"/>
    </row>
    <row r="859">
      <c r="A859" s="36">
        <v>42680.0</v>
      </c>
      <c r="B859" s="34">
        <v>0.835628438801</v>
      </c>
      <c r="D859" t="str">
        <f t="shared" si="6"/>
        <v>2016-11</v>
      </c>
      <c r="AB859" s="36">
        <v>42570.0</v>
      </c>
      <c r="AC859" s="4">
        <v>0.737245538233</v>
      </c>
      <c r="AE859" t="str">
        <f t="shared" si="14"/>
        <v>2016-07</v>
      </c>
      <c r="AJ859" s="5"/>
    </row>
    <row r="860">
      <c r="A860" s="36">
        <v>42681.0</v>
      </c>
      <c r="B860" s="34">
        <v>0.724694642983</v>
      </c>
      <c r="D860" t="str">
        <f t="shared" si="6"/>
        <v>2016-11</v>
      </c>
      <c r="AB860" s="36">
        <v>42571.0</v>
      </c>
      <c r="AC860" s="4">
        <v>0.730440064192</v>
      </c>
      <c r="AE860" t="str">
        <f t="shared" si="14"/>
        <v>2016-07</v>
      </c>
      <c r="AJ860" s="5"/>
    </row>
    <row r="861">
      <c r="A861" s="36">
        <v>42685.0</v>
      </c>
      <c r="B861" s="34">
        <v>0.878335876538</v>
      </c>
      <c r="D861" t="str">
        <f t="shared" si="6"/>
        <v>2016-11</v>
      </c>
      <c r="AB861" s="36">
        <v>42577.0</v>
      </c>
      <c r="AC861" s="4">
        <v>0.653786202111</v>
      </c>
      <c r="AE861" t="str">
        <f t="shared" si="14"/>
        <v>2016-07</v>
      </c>
      <c r="AJ861" s="5"/>
    </row>
    <row r="862">
      <c r="A862" s="36">
        <v>42687.0</v>
      </c>
      <c r="B862" s="34">
        <v>0.598031269874</v>
      </c>
      <c r="D862" t="str">
        <f t="shared" si="6"/>
        <v>2016-11</v>
      </c>
      <c r="AB862" s="36">
        <v>42578.0</v>
      </c>
      <c r="AC862" s="4">
        <v>0.546125916389</v>
      </c>
      <c r="AE862" t="str">
        <f t="shared" si="14"/>
        <v>2016-07</v>
      </c>
      <c r="AJ862" s="5"/>
    </row>
    <row r="863">
      <c r="A863" s="36">
        <v>42688.0</v>
      </c>
      <c r="B863" s="34">
        <v>0.702741326219</v>
      </c>
      <c r="D863" t="str">
        <f t="shared" si="6"/>
        <v>2016-11</v>
      </c>
      <c r="AB863" s="36">
        <v>42584.0</v>
      </c>
      <c r="AC863" s="4">
        <v>0.676615110215</v>
      </c>
      <c r="AE863" t="str">
        <f t="shared" si="14"/>
        <v>2016-08</v>
      </c>
      <c r="AJ863" s="5"/>
    </row>
    <row r="864">
      <c r="A864" s="36">
        <v>42695.0</v>
      </c>
      <c r="B864" s="34">
        <v>0.696817387053</v>
      </c>
      <c r="D864" t="str">
        <f t="shared" si="6"/>
        <v>2016-11</v>
      </c>
      <c r="AB864" s="36">
        <v>42585.0</v>
      </c>
      <c r="AC864" s="4">
        <v>0.696537281941</v>
      </c>
      <c r="AE864" t="str">
        <f t="shared" si="14"/>
        <v>2016-08</v>
      </c>
      <c r="AJ864" s="5"/>
    </row>
    <row r="865">
      <c r="A865" s="36">
        <v>42701.0</v>
      </c>
      <c r="B865" s="34">
        <v>0.727696994877</v>
      </c>
      <c r="D865" t="str">
        <f t="shared" si="6"/>
        <v>2016-11</v>
      </c>
      <c r="AB865" s="36">
        <v>42591.0</v>
      </c>
      <c r="AC865" s="4">
        <v>0.738235289933</v>
      </c>
      <c r="AE865" t="str">
        <f t="shared" si="14"/>
        <v>2016-08</v>
      </c>
      <c r="AJ865" s="5"/>
    </row>
    <row r="866">
      <c r="A866" s="36">
        <v>42702.0</v>
      </c>
      <c r="B866" s="34">
        <v>0.642873800921</v>
      </c>
      <c r="D866" t="str">
        <f t="shared" si="6"/>
        <v>2016-11</v>
      </c>
      <c r="AB866" s="36">
        <v>42592.0</v>
      </c>
      <c r="AC866" s="4">
        <v>0.61900211285</v>
      </c>
      <c r="AE866" t="str">
        <f t="shared" si="14"/>
        <v>2016-08</v>
      </c>
      <c r="AJ866" s="5"/>
    </row>
    <row r="867">
      <c r="A867" s="36">
        <v>42708.0</v>
      </c>
      <c r="B867" s="34">
        <v>0.694169420366</v>
      </c>
      <c r="D867" t="str">
        <f t="shared" si="6"/>
        <v>2016-12</v>
      </c>
      <c r="AB867" s="36">
        <v>42597.0</v>
      </c>
      <c r="AC867" s="4">
        <v>0.597095379167</v>
      </c>
      <c r="AE867" t="str">
        <f t="shared" si="14"/>
        <v>2016-08</v>
      </c>
      <c r="AJ867" s="5"/>
    </row>
    <row r="868">
      <c r="A868" s="36">
        <v>42709.0</v>
      </c>
      <c r="B868" s="34">
        <v>0.640518221663</v>
      </c>
      <c r="D868" t="str">
        <f t="shared" si="6"/>
        <v>2016-12</v>
      </c>
      <c r="AB868" s="36">
        <v>42598.0</v>
      </c>
      <c r="AC868" s="4">
        <v>0.695643582247</v>
      </c>
      <c r="AE868" t="str">
        <f t="shared" si="14"/>
        <v>2016-08</v>
      </c>
      <c r="AJ868" s="5"/>
    </row>
    <row r="869">
      <c r="A869" s="36">
        <v>42715.0</v>
      </c>
      <c r="B869" s="34">
        <v>0.669649224144</v>
      </c>
      <c r="D869" t="str">
        <f t="shared" si="6"/>
        <v>2016-12</v>
      </c>
      <c r="AB869" s="36">
        <v>42599.0</v>
      </c>
      <c r="AC869" s="4">
        <v>0.69426599118</v>
      </c>
      <c r="AE869" t="str">
        <f t="shared" si="14"/>
        <v>2016-08</v>
      </c>
      <c r="AJ869" s="5"/>
    </row>
    <row r="870">
      <c r="A870" s="36">
        <v>42716.0</v>
      </c>
      <c r="B870" s="34">
        <v>0.7070165615</v>
      </c>
      <c r="D870" t="str">
        <f t="shared" si="6"/>
        <v>2016-12</v>
      </c>
      <c r="AB870" s="36">
        <v>42605.0</v>
      </c>
      <c r="AC870" s="4">
        <v>0.632792685985</v>
      </c>
      <c r="AE870" t="str">
        <f t="shared" si="14"/>
        <v>2016-08</v>
      </c>
      <c r="AJ870" s="5"/>
    </row>
    <row r="871">
      <c r="A871" s="36">
        <v>42722.0</v>
      </c>
      <c r="B871" s="34">
        <v>0.691418077915</v>
      </c>
      <c r="D871" t="str">
        <f t="shared" si="6"/>
        <v>2016-12</v>
      </c>
      <c r="AB871" s="36">
        <v>42606.0</v>
      </c>
      <c r="AC871" s="4">
        <v>0.730692874403</v>
      </c>
      <c r="AE871" t="str">
        <f t="shared" si="14"/>
        <v>2016-08</v>
      </c>
      <c r="AJ871" s="5"/>
    </row>
    <row r="872">
      <c r="A872" s="36">
        <v>42723.0</v>
      </c>
      <c r="B872" s="34">
        <v>0.664902299871</v>
      </c>
      <c r="D872" t="str">
        <f t="shared" si="6"/>
        <v>2016-12</v>
      </c>
      <c r="AB872" s="36">
        <v>42611.0</v>
      </c>
      <c r="AC872" s="4">
        <v>0.672591210846</v>
      </c>
      <c r="AE872" t="str">
        <f t="shared" si="14"/>
        <v>2016-08</v>
      </c>
      <c r="AJ872" s="5"/>
    </row>
    <row r="873">
      <c r="A873" s="36">
        <v>42729.0</v>
      </c>
      <c r="B873" s="34">
        <v>0.59940928905</v>
      </c>
      <c r="D873" t="str">
        <f t="shared" si="6"/>
        <v>2016-12</v>
      </c>
      <c r="AB873" s="36">
        <v>42612.0</v>
      </c>
      <c r="AC873" s="4">
        <v>0.689664099926</v>
      </c>
      <c r="AE873" t="str">
        <f t="shared" si="14"/>
        <v>2016-08</v>
      </c>
      <c r="AJ873" s="5"/>
    </row>
    <row r="874">
      <c r="A874" s="36">
        <v>42730.0</v>
      </c>
      <c r="B874" s="34">
        <v>0.66624394837</v>
      </c>
      <c r="D874" t="str">
        <f t="shared" si="6"/>
        <v>2016-12</v>
      </c>
      <c r="AB874" s="36">
        <v>42613.0</v>
      </c>
      <c r="AC874" s="4">
        <v>0.732464201666</v>
      </c>
      <c r="AE874" t="str">
        <f t="shared" si="14"/>
        <v>2016-08</v>
      </c>
      <c r="AJ874" s="5"/>
    </row>
    <row r="875">
      <c r="A875" s="36">
        <v>42736.0</v>
      </c>
      <c r="B875" s="34">
        <v>0.739247273891</v>
      </c>
      <c r="D875" t="str">
        <f t="shared" si="6"/>
        <v>2017-01</v>
      </c>
      <c r="AB875" s="36">
        <v>42619.0</v>
      </c>
      <c r="AC875" s="4">
        <v>0.733249836156</v>
      </c>
      <c r="AE875" t="str">
        <f t="shared" si="14"/>
        <v>2016-09</v>
      </c>
      <c r="AJ875" s="5"/>
    </row>
    <row r="876">
      <c r="A876" s="36">
        <v>42737.0</v>
      </c>
      <c r="B876" s="34">
        <v>0.777100973511</v>
      </c>
      <c r="D876" t="str">
        <f t="shared" si="6"/>
        <v>2017-01</v>
      </c>
      <c r="AB876" s="36">
        <v>42620.0</v>
      </c>
      <c r="AC876" s="4">
        <v>0.681890064433</v>
      </c>
      <c r="AE876" t="str">
        <f t="shared" si="14"/>
        <v>2016-09</v>
      </c>
      <c r="AJ876" s="5"/>
    </row>
    <row r="877">
      <c r="A877" s="36">
        <v>42743.0</v>
      </c>
      <c r="B877" s="34">
        <v>0.71261292964</v>
      </c>
      <c r="D877" t="str">
        <f t="shared" si="6"/>
        <v>2017-01</v>
      </c>
      <c r="AB877" s="36">
        <v>42626.0</v>
      </c>
      <c r="AC877" s="4">
        <v>0.727465048104</v>
      </c>
      <c r="AE877" t="str">
        <f t="shared" si="14"/>
        <v>2016-09</v>
      </c>
      <c r="AJ877" s="5"/>
    </row>
    <row r="878">
      <c r="A878" s="36">
        <v>42744.0</v>
      </c>
      <c r="B878" s="34">
        <v>0.742666255164</v>
      </c>
      <c r="D878" t="str">
        <f t="shared" si="6"/>
        <v>2017-01</v>
      </c>
      <c r="AB878" s="36">
        <v>42627.0</v>
      </c>
      <c r="AC878" s="4">
        <v>0.686777891942</v>
      </c>
      <c r="AE878" t="str">
        <f t="shared" si="14"/>
        <v>2016-09</v>
      </c>
      <c r="AJ878" s="5"/>
    </row>
    <row r="879">
      <c r="A879" s="36">
        <v>42750.0</v>
      </c>
      <c r="B879" s="34">
        <v>0.740495146802</v>
      </c>
      <c r="D879" t="str">
        <f t="shared" si="6"/>
        <v>2017-01</v>
      </c>
      <c r="AB879" s="36">
        <v>42633.0</v>
      </c>
      <c r="AC879" s="4">
        <v>0.708046884306</v>
      </c>
      <c r="AE879" t="str">
        <f t="shared" si="14"/>
        <v>2016-09</v>
      </c>
      <c r="AJ879" s="5"/>
    </row>
    <row r="880">
      <c r="A880" s="36">
        <v>42751.0</v>
      </c>
      <c r="B880" s="34">
        <v>0.738898442224</v>
      </c>
      <c r="D880" t="str">
        <f t="shared" si="6"/>
        <v>2017-01</v>
      </c>
      <c r="AB880" s="36">
        <v>42634.0</v>
      </c>
      <c r="AC880" s="4">
        <v>0.728046010797</v>
      </c>
      <c r="AE880" t="str">
        <f t="shared" si="14"/>
        <v>2016-09</v>
      </c>
      <c r="AJ880" s="5"/>
    </row>
    <row r="881">
      <c r="A881" s="36">
        <v>42757.0</v>
      </c>
      <c r="B881" s="34">
        <v>0.680012333658</v>
      </c>
      <c r="D881" t="str">
        <f t="shared" si="6"/>
        <v>2017-01</v>
      </c>
      <c r="AB881" s="36">
        <v>42640.0</v>
      </c>
      <c r="AC881" s="4">
        <v>0.767706207055</v>
      </c>
      <c r="AE881" t="str">
        <f t="shared" si="14"/>
        <v>2016-09</v>
      </c>
      <c r="AJ881" s="5"/>
    </row>
    <row r="882">
      <c r="A882" s="36">
        <v>42758.0</v>
      </c>
      <c r="B882" s="34">
        <v>0.70158963812</v>
      </c>
      <c r="D882" t="str">
        <f t="shared" si="6"/>
        <v>2017-01</v>
      </c>
      <c r="AB882" s="36">
        <v>42641.0</v>
      </c>
      <c r="AC882" s="4">
        <v>0.59935271504</v>
      </c>
      <c r="AE882" t="str">
        <f t="shared" si="14"/>
        <v>2016-09</v>
      </c>
      <c r="AJ882" s="5"/>
    </row>
    <row r="883">
      <c r="A883" s="36">
        <v>42764.0</v>
      </c>
      <c r="B883" s="34">
        <v>0.723061505906</v>
      </c>
      <c r="D883" t="str">
        <f t="shared" si="6"/>
        <v>2017-01</v>
      </c>
      <c r="AB883" s="36">
        <v>42647.0</v>
      </c>
      <c r="AC883" s="4">
        <v>0.671378671021</v>
      </c>
      <c r="AE883" t="str">
        <f t="shared" si="14"/>
        <v>2016-10</v>
      </c>
      <c r="AJ883" s="5"/>
    </row>
    <row r="884">
      <c r="A884" s="36">
        <v>42765.0</v>
      </c>
      <c r="B884" s="34">
        <v>0.706745687757</v>
      </c>
      <c r="D884" t="str">
        <f t="shared" si="6"/>
        <v>2017-01</v>
      </c>
      <c r="AB884" s="36">
        <v>42648.0</v>
      </c>
      <c r="AC884" s="4">
        <v>0.695396954827</v>
      </c>
      <c r="AE884" t="str">
        <f t="shared" si="14"/>
        <v>2016-10</v>
      </c>
      <c r="AJ884" s="5"/>
    </row>
    <row r="885">
      <c r="A885" s="36">
        <v>42771.0</v>
      </c>
      <c r="B885" s="34">
        <v>0.623788227996</v>
      </c>
      <c r="D885" t="str">
        <f t="shared" si="6"/>
        <v>2017-02</v>
      </c>
      <c r="AB885" s="36">
        <v>42654.0</v>
      </c>
      <c r="AC885" s="4">
        <v>0.704189174299</v>
      </c>
      <c r="AE885" t="str">
        <f t="shared" si="14"/>
        <v>2016-10</v>
      </c>
      <c r="AJ885" s="5"/>
    </row>
    <row r="886">
      <c r="A886" s="36">
        <v>42772.0</v>
      </c>
      <c r="B886" s="34">
        <v>0.696103241318</v>
      </c>
      <c r="D886" t="str">
        <f t="shared" si="6"/>
        <v>2017-02</v>
      </c>
      <c r="AB886" s="36">
        <v>42655.0</v>
      </c>
      <c r="AC886" s="4">
        <v>0.622709181854</v>
      </c>
      <c r="AE886" t="str">
        <f t="shared" si="14"/>
        <v>2016-10</v>
      </c>
      <c r="AJ886" s="5"/>
    </row>
    <row r="887">
      <c r="A887" s="36">
        <v>42778.0</v>
      </c>
      <c r="B887" s="34">
        <v>0.71725878967</v>
      </c>
      <c r="D887" t="str">
        <f t="shared" si="6"/>
        <v>2017-02</v>
      </c>
      <c r="AB887" s="36">
        <v>42661.0</v>
      </c>
      <c r="AC887" s="4">
        <v>0.703090590513</v>
      </c>
      <c r="AE887" t="str">
        <f t="shared" si="14"/>
        <v>2016-10</v>
      </c>
      <c r="AJ887" s="5"/>
    </row>
    <row r="888">
      <c r="A888" s="36">
        <v>42779.0</v>
      </c>
      <c r="B888" s="34">
        <v>0.695302082942</v>
      </c>
      <c r="D888" t="str">
        <f t="shared" si="6"/>
        <v>2017-02</v>
      </c>
      <c r="AB888" s="36">
        <v>42662.0</v>
      </c>
      <c r="AC888" s="4">
        <v>0.796463024516</v>
      </c>
      <c r="AE888" t="str">
        <f t="shared" si="14"/>
        <v>2016-10</v>
      </c>
      <c r="AJ888" s="5"/>
    </row>
    <row r="889">
      <c r="A889" s="36">
        <v>42785.0</v>
      </c>
      <c r="B889" s="34">
        <v>0.74303260247</v>
      </c>
      <c r="D889" t="str">
        <f t="shared" si="6"/>
        <v>2017-02</v>
      </c>
      <c r="AB889" s="36">
        <v>42668.0</v>
      </c>
      <c r="AC889" s="4">
        <v>0.676769065277</v>
      </c>
      <c r="AE889" t="str">
        <f t="shared" si="14"/>
        <v>2016-10</v>
      </c>
      <c r="AJ889" s="5"/>
    </row>
    <row r="890">
      <c r="A890" s="36">
        <v>42786.0</v>
      </c>
      <c r="B890" s="34">
        <v>0.674904378856</v>
      </c>
      <c r="D890" t="str">
        <f t="shared" si="6"/>
        <v>2017-02</v>
      </c>
      <c r="AB890" s="36">
        <v>42669.0</v>
      </c>
      <c r="AC890" s="4">
        <v>0.792172260245</v>
      </c>
      <c r="AE890" t="str">
        <f t="shared" si="14"/>
        <v>2016-10</v>
      </c>
      <c r="AJ890" s="5"/>
    </row>
    <row r="891">
      <c r="A891" s="36">
        <v>42792.0</v>
      </c>
      <c r="B891" s="34">
        <v>0.657864837431</v>
      </c>
      <c r="D891" t="str">
        <f t="shared" si="6"/>
        <v>2017-02</v>
      </c>
      <c r="AB891" s="36">
        <v>42675.0</v>
      </c>
      <c r="AC891" s="4">
        <v>0.699237147185</v>
      </c>
      <c r="AE891" t="str">
        <f t="shared" si="14"/>
        <v>2016-11</v>
      </c>
      <c r="AJ891" s="5"/>
    </row>
    <row r="892">
      <c r="A892" s="36">
        <v>42793.0</v>
      </c>
      <c r="B892" s="34">
        <v>0.679836539065</v>
      </c>
      <c r="D892" t="str">
        <f t="shared" si="6"/>
        <v>2017-02</v>
      </c>
      <c r="AB892" s="36">
        <v>42676.0</v>
      </c>
      <c r="AC892" s="4">
        <v>0.655653576076</v>
      </c>
      <c r="AE892" t="str">
        <f t="shared" si="14"/>
        <v>2016-11</v>
      </c>
      <c r="AJ892" s="5"/>
    </row>
    <row r="893">
      <c r="A893" s="36">
        <v>42799.0</v>
      </c>
      <c r="B893" s="34">
        <v>0.677125824136</v>
      </c>
      <c r="D893" t="str">
        <f t="shared" si="6"/>
        <v>2017-03</v>
      </c>
      <c r="AB893" s="36">
        <v>42681.0</v>
      </c>
      <c r="AC893" s="4">
        <v>0.60800005509</v>
      </c>
      <c r="AE893" t="str">
        <f t="shared" si="14"/>
        <v>2016-11</v>
      </c>
      <c r="AJ893" s="5"/>
    </row>
    <row r="894">
      <c r="A894" s="36">
        <v>42800.0</v>
      </c>
      <c r="B894" s="34">
        <v>0.6829328575</v>
      </c>
      <c r="D894" t="str">
        <f t="shared" si="6"/>
        <v>2017-03</v>
      </c>
      <c r="AB894" s="36">
        <v>42682.0</v>
      </c>
      <c r="AC894" s="4">
        <v>0.785141126814</v>
      </c>
      <c r="AE894" t="str">
        <f t="shared" si="14"/>
        <v>2016-11</v>
      </c>
      <c r="AJ894" s="5"/>
    </row>
    <row r="895">
      <c r="A895" s="36">
        <v>42806.0</v>
      </c>
      <c r="B895" s="34">
        <v>0.809707859091</v>
      </c>
      <c r="D895" t="str">
        <f t="shared" si="6"/>
        <v>2017-03</v>
      </c>
      <c r="AB895" s="36">
        <v>42688.0</v>
      </c>
      <c r="AC895" s="4">
        <v>0.744875350059</v>
      </c>
      <c r="AE895" t="str">
        <f t="shared" si="14"/>
        <v>2016-11</v>
      </c>
      <c r="AJ895" s="5"/>
    </row>
    <row r="896">
      <c r="A896" s="36">
        <v>42807.0</v>
      </c>
      <c r="B896" s="34">
        <v>0.795750408101</v>
      </c>
      <c r="D896" t="str">
        <f t="shared" si="6"/>
        <v>2017-03</v>
      </c>
      <c r="AB896" s="36">
        <v>42689.0</v>
      </c>
      <c r="AC896" s="4">
        <v>0.73691510465</v>
      </c>
      <c r="AE896" t="str">
        <f t="shared" si="14"/>
        <v>2016-11</v>
      </c>
      <c r="AJ896" s="5"/>
    </row>
    <row r="897">
      <c r="A897" s="36">
        <v>42813.0</v>
      </c>
      <c r="B897" s="34">
        <v>0.717467038267</v>
      </c>
      <c r="D897" t="str">
        <f t="shared" si="6"/>
        <v>2017-03</v>
      </c>
      <c r="AB897" s="36">
        <v>42690.0</v>
      </c>
      <c r="AC897" s="4">
        <v>0.668343353905</v>
      </c>
      <c r="AE897" t="str">
        <f t="shared" si="14"/>
        <v>2016-11</v>
      </c>
      <c r="AJ897" s="5"/>
    </row>
    <row r="898">
      <c r="A898" s="36">
        <v>42814.0</v>
      </c>
      <c r="B898" s="34">
        <v>0.707204831395</v>
      </c>
      <c r="D898" t="str">
        <f t="shared" si="6"/>
        <v>2017-03</v>
      </c>
      <c r="AB898" s="36">
        <v>42695.0</v>
      </c>
      <c r="AC898" s="4">
        <v>0.722190922606</v>
      </c>
      <c r="AE898" t="str">
        <f t="shared" si="14"/>
        <v>2016-11</v>
      </c>
      <c r="AJ898" s="5"/>
    </row>
    <row r="899">
      <c r="A899" s="36">
        <v>42821.0</v>
      </c>
      <c r="B899" s="34">
        <v>0.636806841802</v>
      </c>
      <c r="D899" t="str">
        <f t="shared" si="6"/>
        <v>2017-03</v>
      </c>
      <c r="AB899" s="36">
        <v>42696.0</v>
      </c>
      <c r="AC899" s="4">
        <v>0.728561044006</v>
      </c>
      <c r="AE899" t="str">
        <f t="shared" si="14"/>
        <v>2016-11</v>
      </c>
      <c r="AJ899" s="5"/>
    </row>
    <row r="900">
      <c r="A900" s="36">
        <v>42828.0</v>
      </c>
      <c r="B900" s="34">
        <v>0.737094264293</v>
      </c>
      <c r="D900" t="str">
        <f t="shared" si="6"/>
        <v>2017-04</v>
      </c>
      <c r="AB900" s="36">
        <v>42697.0</v>
      </c>
      <c r="AC900" s="4">
        <v>0.773332791062</v>
      </c>
      <c r="AE900" t="str">
        <f t="shared" si="14"/>
        <v>2016-11</v>
      </c>
      <c r="AJ900" s="5"/>
    </row>
    <row r="901">
      <c r="A901" s="36">
        <v>42835.0</v>
      </c>
      <c r="B901" s="34">
        <v>0.677391044815</v>
      </c>
      <c r="D901" t="str">
        <f t="shared" si="6"/>
        <v>2017-04</v>
      </c>
      <c r="AB901" s="36">
        <v>42702.0</v>
      </c>
      <c r="AC901" s="4">
        <v>0.751736050505</v>
      </c>
      <c r="AE901" t="str">
        <f t="shared" si="14"/>
        <v>2016-11</v>
      </c>
      <c r="AJ901" s="5"/>
    </row>
    <row r="902">
      <c r="A902" s="36">
        <v>42842.0</v>
      </c>
      <c r="B902" s="34">
        <v>0.674520286783</v>
      </c>
      <c r="D902" t="str">
        <f t="shared" si="6"/>
        <v>2017-04</v>
      </c>
      <c r="AB902" s="36">
        <v>42703.0</v>
      </c>
      <c r="AC902" s="4">
        <v>0.691015930754</v>
      </c>
      <c r="AE902" t="str">
        <f t="shared" si="14"/>
        <v>2016-11</v>
      </c>
      <c r="AJ902" s="5"/>
    </row>
    <row r="903">
      <c r="A903" s="36">
        <v>42849.0</v>
      </c>
      <c r="B903" s="34">
        <v>0.735918317332</v>
      </c>
      <c r="D903" t="str">
        <f t="shared" si="6"/>
        <v>2017-04</v>
      </c>
      <c r="AB903" s="36">
        <v>42709.0</v>
      </c>
      <c r="AC903" s="4">
        <v>0.761531969585</v>
      </c>
      <c r="AE903" t="str">
        <f t="shared" si="14"/>
        <v>2016-12</v>
      </c>
      <c r="AJ903" s="5"/>
    </row>
    <row r="904">
      <c r="A904" s="36">
        <v>42856.0</v>
      </c>
      <c r="B904" s="34">
        <v>0.672253879732</v>
      </c>
      <c r="D904" t="str">
        <f t="shared" si="6"/>
        <v>2017-05</v>
      </c>
      <c r="AB904" s="36">
        <v>42710.0</v>
      </c>
      <c r="AC904" s="4">
        <v>0.733389550345</v>
      </c>
      <c r="AE904" t="str">
        <f t="shared" si="14"/>
        <v>2016-12</v>
      </c>
      <c r="AJ904" s="5"/>
    </row>
    <row r="905">
      <c r="A905" s="36">
        <v>42863.0</v>
      </c>
      <c r="B905" s="34">
        <v>0.8613837029</v>
      </c>
      <c r="D905" t="str">
        <f t="shared" si="6"/>
        <v>2017-05</v>
      </c>
      <c r="AB905" s="36">
        <v>42711.0</v>
      </c>
      <c r="AC905" s="4">
        <v>0.940566192339</v>
      </c>
      <c r="AE905" t="str">
        <f t="shared" si="14"/>
        <v>2016-12</v>
      </c>
      <c r="AJ905" s="5"/>
    </row>
    <row r="906">
      <c r="A906" s="36">
        <v>42870.0</v>
      </c>
      <c r="B906" s="34">
        <v>0.735297130333</v>
      </c>
      <c r="D906" t="str">
        <f t="shared" si="6"/>
        <v>2017-05</v>
      </c>
      <c r="AB906" s="36">
        <v>42717.0</v>
      </c>
      <c r="AC906" s="4">
        <v>0.684231508147</v>
      </c>
      <c r="AE906" t="str">
        <f t="shared" si="14"/>
        <v>2016-12</v>
      </c>
      <c r="AJ906" s="5"/>
    </row>
    <row r="907">
      <c r="A907" s="36">
        <v>42877.0</v>
      </c>
      <c r="B907" s="34">
        <v>0.629668844896</v>
      </c>
      <c r="D907" t="str">
        <f t="shared" si="6"/>
        <v>2017-05</v>
      </c>
      <c r="AB907" s="36">
        <v>42723.0</v>
      </c>
      <c r="AC907" s="4">
        <v>0.751579734089</v>
      </c>
      <c r="AE907" t="str">
        <f t="shared" si="14"/>
        <v>2016-12</v>
      </c>
      <c r="AJ907" s="5"/>
    </row>
    <row r="908">
      <c r="A908" s="36">
        <v>42884.0</v>
      </c>
      <c r="B908" s="34">
        <v>0.690972948692</v>
      </c>
      <c r="D908" t="str">
        <f t="shared" si="6"/>
        <v>2017-05</v>
      </c>
      <c r="AB908" s="36">
        <v>42724.0</v>
      </c>
      <c r="AC908" s="4">
        <v>0.708917961881</v>
      </c>
      <c r="AE908" t="str">
        <f t="shared" si="14"/>
        <v>2016-12</v>
      </c>
      <c r="AJ908" s="5"/>
    </row>
    <row r="909">
      <c r="A909" s="36">
        <v>42891.0</v>
      </c>
      <c r="B909" s="34">
        <v>0.748706535564</v>
      </c>
      <c r="D909" t="str">
        <f t="shared" si="6"/>
        <v>2017-06</v>
      </c>
      <c r="AB909" s="36">
        <v>42730.0</v>
      </c>
      <c r="AC909" s="4">
        <v>0.716121076125</v>
      </c>
      <c r="AE909" t="str">
        <f t="shared" si="14"/>
        <v>2016-12</v>
      </c>
      <c r="AJ909" s="5"/>
    </row>
    <row r="910">
      <c r="A910" s="36">
        <v>42898.0</v>
      </c>
      <c r="B910" s="34">
        <v>0.717628936697</v>
      </c>
      <c r="D910" t="str">
        <f t="shared" si="6"/>
        <v>2017-06</v>
      </c>
      <c r="AB910" s="36">
        <v>42731.0</v>
      </c>
      <c r="AC910" s="4">
        <v>0.70030609856</v>
      </c>
      <c r="AE910" t="str">
        <f t="shared" si="14"/>
        <v>2016-12</v>
      </c>
      <c r="AJ910" s="5"/>
    </row>
    <row r="911">
      <c r="A911" s="36">
        <v>42905.0</v>
      </c>
      <c r="B911" s="34">
        <v>0.651810860257</v>
      </c>
      <c r="D911" t="str">
        <f t="shared" si="6"/>
        <v>2017-06</v>
      </c>
      <c r="AB911" s="36">
        <v>42738.0</v>
      </c>
      <c r="AC911" s="4">
        <v>0.771093786629</v>
      </c>
      <c r="AE911" t="str">
        <f t="shared" si="14"/>
        <v>2017-01</v>
      </c>
      <c r="AJ911" s="5"/>
    </row>
    <row r="912">
      <c r="A912" s="36">
        <v>42912.0</v>
      </c>
      <c r="B912" s="34">
        <v>0.665431191907</v>
      </c>
      <c r="D912" t="str">
        <f t="shared" si="6"/>
        <v>2017-06</v>
      </c>
      <c r="AB912" s="36">
        <v>42744.0</v>
      </c>
      <c r="AC912" s="4">
        <v>0.81107967344</v>
      </c>
      <c r="AE912" t="str">
        <f t="shared" si="14"/>
        <v>2017-01</v>
      </c>
      <c r="AJ912" s="5"/>
    </row>
    <row r="913">
      <c r="A913" s="36">
        <v>42919.0</v>
      </c>
      <c r="B913" s="34">
        <v>0.693426472724</v>
      </c>
      <c r="D913" t="str">
        <f t="shared" si="6"/>
        <v>2017-07</v>
      </c>
      <c r="AB913" s="36">
        <v>42745.0</v>
      </c>
      <c r="AC913" s="4">
        <v>0.766016590779</v>
      </c>
      <c r="AE913" t="str">
        <f t="shared" si="14"/>
        <v>2017-01</v>
      </c>
      <c r="AJ913" s="5"/>
    </row>
    <row r="914">
      <c r="A914" s="36">
        <v>42926.0</v>
      </c>
      <c r="B914" s="34">
        <v>0.686702324455</v>
      </c>
      <c r="D914" t="str">
        <f t="shared" si="6"/>
        <v>2017-07</v>
      </c>
      <c r="AB914" s="36">
        <v>42746.0</v>
      </c>
      <c r="AC914" s="4">
        <v>0.730635068632</v>
      </c>
      <c r="AE914" t="str">
        <f t="shared" si="14"/>
        <v>2017-01</v>
      </c>
      <c r="AJ914" s="5"/>
    </row>
    <row r="915">
      <c r="A915" s="36">
        <v>42933.0</v>
      </c>
      <c r="B915" s="34">
        <v>0.649187293513</v>
      </c>
      <c r="D915" t="str">
        <f t="shared" si="6"/>
        <v>2017-07</v>
      </c>
      <c r="AB915" s="36">
        <v>42751.0</v>
      </c>
      <c r="AC915" s="4">
        <v>0.699158943505</v>
      </c>
      <c r="AE915" t="str">
        <f t="shared" si="14"/>
        <v>2017-01</v>
      </c>
      <c r="AJ915" s="5"/>
    </row>
    <row r="916">
      <c r="A916" s="36">
        <v>42940.0</v>
      </c>
      <c r="B916" s="34">
        <v>0.689790489515</v>
      </c>
      <c r="D916" t="str">
        <f t="shared" si="6"/>
        <v>2017-07</v>
      </c>
      <c r="AB916" s="36">
        <v>42752.0</v>
      </c>
      <c r="AC916" s="4">
        <v>0.77098875095</v>
      </c>
      <c r="AE916" t="str">
        <f t="shared" si="14"/>
        <v>2017-01</v>
      </c>
      <c r="AJ916" s="5"/>
    </row>
    <row r="917">
      <c r="A917" s="36">
        <v>42947.0</v>
      </c>
      <c r="B917" s="34">
        <v>0.673954930077</v>
      </c>
      <c r="D917" t="str">
        <f t="shared" si="6"/>
        <v>2017-07</v>
      </c>
      <c r="AB917" s="36">
        <v>42759.0</v>
      </c>
      <c r="AC917" s="4">
        <v>0.673353605587</v>
      </c>
      <c r="AE917" t="str">
        <f t="shared" si="14"/>
        <v>2017-01</v>
      </c>
      <c r="AJ917" s="5"/>
    </row>
    <row r="918">
      <c r="A918" s="36">
        <v>42954.0</v>
      </c>
      <c r="B918" s="34">
        <v>0.695704376839</v>
      </c>
      <c r="D918" t="str">
        <f t="shared" si="6"/>
        <v>2017-08</v>
      </c>
      <c r="AB918" s="36">
        <v>42760.0</v>
      </c>
      <c r="AC918" s="4">
        <v>0.403649654705</v>
      </c>
      <c r="AE918" t="str">
        <f t="shared" si="14"/>
        <v>2017-01</v>
      </c>
      <c r="AJ918" s="5"/>
    </row>
    <row r="919">
      <c r="A919" s="36">
        <v>42961.0</v>
      </c>
      <c r="B919" s="34">
        <v>0.649948656251</v>
      </c>
      <c r="D919" t="str">
        <f t="shared" si="6"/>
        <v>2017-08</v>
      </c>
      <c r="AB919" s="36">
        <v>42765.0</v>
      </c>
      <c r="AC919" s="4">
        <v>0.708498356591</v>
      </c>
      <c r="AE919" t="str">
        <f t="shared" si="14"/>
        <v>2017-01</v>
      </c>
      <c r="AJ919" s="5"/>
    </row>
    <row r="920">
      <c r="A920" s="36">
        <v>42968.0</v>
      </c>
      <c r="B920" s="34">
        <v>0.701150448049</v>
      </c>
      <c r="D920" t="str">
        <f t="shared" si="6"/>
        <v>2017-08</v>
      </c>
      <c r="AB920" s="36">
        <v>42766.0</v>
      </c>
      <c r="AC920" s="4">
        <v>0.714763788062</v>
      </c>
      <c r="AE920" t="str">
        <f t="shared" si="14"/>
        <v>2017-01</v>
      </c>
      <c r="AJ920" s="5"/>
    </row>
    <row r="921">
      <c r="A921" s="36">
        <v>42975.0</v>
      </c>
      <c r="B921" s="34">
        <v>0.67898023207</v>
      </c>
      <c r="D921" t="str">
        <f t="shared" si="6"/>
        <v>2017-08</v>
      </c>
      <c r="AB921" s="36">
        <v>42773.0</v>
      </c>
      <c r="AC921" s="4">
        <v>0.724113591346</v>
      </c>
      <c r="AE921" t="str">
        <f t="shared" si="14"/>
        <v>2017-02</v>
      </c>
      <c r="AJ921" s="5"/>
    </row>
    <row r="922">
      <c r="A922" s="36">
        <v>42981.0</v>
      </c>
      <c r="B922" s="34">
        <v>0.802372929063</v>
      </c>
      <c r="D922" t="str">
        <f t="shared" si="6"/>
        <v>2017-09</v>
      </c>
      <c r="AB922" s="36">
        <v>42774.0</v>
      </c>
      <c r="AC922" s="4">
        <v>0.64587435161</v>
      </c>
      <c r="AE922" t="str">
        <f t="shared" si="14"/>
        <v>2017-02</v>
      </c>
      <c r="AJ922" s="5"/>
    </row>
    <row r="923">
      <c r="A923" s="36">
        <v>42982.0</v>
      </c>
      <c r="B923" s="34">
        <v>0.674923461818</v>
      </c>
      <c r="D923" t="str">
        <f t="shared" si="6"/>
        <v>2017-09</v>
      </c>
      <c r="AB923" s="36">
        <v>42779.0</v>
      </c>
      <c r="AC923" s="4">
        <v>0.740747975517</v>
      </c>
      <c r="AE923" t="str">
        <f t="shared" si="14"/>
        <v>2017-02</v>
      </c>
      <c r="AJ923" s="5"/>
    </row>
    <row r="924">
      <c r="A924" s="36">
        <v>42989.0</v>
      </c>
      <c r="B924" s="34">
        <v>0.690078913617</v>
      </c>
      <c r="D924" t="str">
        <f t="shared" si="6"/>
        <v>2017-09</v>
      </c>
      <c r="AB924" s="36">
        <v>42780.0</v>
      </c>
      <c r="AC924" s="4">
        <v>0.691846217726</v>
      </c>
      <c r="AE924" t="str">
        <f t="shared" si="14"/>
        <v>2017-02</v>
      </c>
      <c r="AJ924" s="5"/>
    </row>
    <row r="925">
      <c r="A925" s="36">
        <v>42996.0</v>
      </c>
      <c r="B925" s="34">
        <v>0.708584804516</v>
      </c>
      <c r="D925" t="str">
        <f t="shared" si="6"/>
        <v>2017-09</v>
      </c>
      <c r="AB925" s="36">
        <v>42787.0</v>
      </c>
      <c r="AC925" s="4">
        <v>0.72571503331</v>
      </c>
      <c r="AE925" t="str">
        <f t="shared" si="14"/>
        <v>2017-02</v>
      </c>
      <c r="AJ925" s="5"/>
    </row>
    <row r="926">
      <c r="AB926" s="36">
        <v>42793.0</v>
      </c>
      <c r="AC926" s="4">
        <v>0.779240122284</v>
      </c>
      <c r="AE926" t="str">
        <f t="shared" si="14"/>
        <v>2017-02</v>
      </c>
      <c r="AJ926" s="5"/>
    </row>
    <row r="927">
      <c r="AB927" s="36">
        <v>42794.0</v>
      </c>
      <c r="AC927" s="4">
        <v>0.719274111497</v>
      </c>
      <c r="AE927" t="str">
        <f t="shared" si="14"/>
        <v>2017-02</v>
      </c>
      <c r="AJ927" s="5"/>
    </row>
    <row r="928">
      <c r="AB928" s="36">
        <v>42800.0</v>
      </c>
      <c r="AC928" s="4">
        <v>0.793249058948</v>
      </c>
      <c r="AE928" t="str">
        <f t="shared" si="14"/>
        <v>2017-03</v>
      </c>
      <c r="AJ928" s="5"/>
    </row>
    <row r="929">
      <c r="A929" s="65" t="s">
        <v>162</v>
      </c>
      <c r="AB929" s="36">
        <v>42801.0</v>
      </c>
      <c r="AC929" s="4">
        <v>0.794644930106</v>
      </c>
      <c r="AE929" t="str">
        <f t="shared" si="14"/>
        <v>2017-03</v>
      </c>
      <c r="AJ929" s="5"/>
    </row>
    <row r="930">
      <c r="A930" s="66" t="s">
        <v>163</v>
      </c>
      <c r="AB930" s="36">
        <v>42802.0</v>
      </c>
      <c r="AC930" s="4">
        <v>0.855466561663</v>
      </c>
      <c r="AE930" t="str">
        <f t="shared" si="14"/>
        <v>2017-03</v>
      </c>
      <c r="AJ930" s="5"/>
    </row>
    <row r="931">
      <c r="A931" s="4" t="s">
        <v>164</v>
      </c>
      <c r="B931" s="34">
        <v>25000.0</v>
      </c>
      <c r="AB931" s="36">
        <v>42808.0</v>
      </c>
      <c r="AC931" s="4">
        <v>0.681089062588</v>
      </c>
      <c r="AE931" t="str">
        <f t="shared" si="14"/>
        <v>2017-03</v>
      </c>
      <c r="AJ931" s="5"/>
    </row>
    <row r="932">
      <c r="A932" s="67" t="s">
        <v>165</v>
      </c>
      <c r="B932" s="68">
        <v>95.0</v>
      </c>
      <c r="C932" s="69" t="s">
        <v>166</v>
      </c>
      <c r="D932" s="70"/>
      <c r="AB932" s="36">
        <v>42809.0</v>
      </c>
      <c r="AC932" s="4">
        <v>0.478340614965</v>
      </c>
      <c r="AE932" t="str">
        <f t="shared" si="14"/>
        <v>2017-03</v>
      </c>
      <c r="AJ932" s="5"/>
    </row>
    <row r="933">
      <c r="A933" s="71" t="s">
        <v>167</v>
      </c>
      <c r="B933" s="28"/>
      <c r="C933" s="72" t="s">
        <v>168</v>
      </c>
      <c r="D933" s="73"/>
      <c r="AB933" s="36">
        <v>42815.0</v>
      </c>
      <c r="AC933" s="4">
        <v>0.751602962782</v>
      </c>
      <c r="AE933" t="str">
        <f t="shared" si="14"/>
        <v>2017-03</v>
      </c>
      <c r="AJ933" s="5"/>
    </row>
    <row r="934">
      <c r="A934" s="34" t="s">
        <v>30</v>
      </c>
      <c r="B934" s="4">
        <v>1.0</v>
      </c>
      <c r="C934" s="64"/>
      <c r="AB934" s="36">
        <v>42816.0</v>
      </c>
      <c r="AC934" s="4">
        <v>0.654447838629</v>
      </c>
      <c r="AE934" t="str">
        <f t="shared" si="14"/>
        <v>2017-03</v>
      </c>
      <c r="AJ934" s="5"/>
    </row>
    <row r="935">
      <c r="A935" s="34" t="s">
        <v>32</v>
      </c>
      <c r="B935" s="4">
        <v>2.0</v>
      </c>
      <c r="AB935" s="36">
        <v>42821.0</v>
      </c>
      <c r="AC935" s="4">
        <v>0.680514204093</v>
      </c>
      <c r="AE935" t="str">
        <f t="shared" si="14"/>
        <v>2017-03</v>
      </c>
      <c r="AJ935" s="5"/>
    </row>
    <row r="936">
      <c r="A936" s="34" t="s">
        <v>169</v>
      </c>
      <c r="B936" s="4">
        <v>2.0</v>
      </c>
      <c r="AB936" s="36">
        <v>42822.0</v>
      </c>
      <c r="AC936" s="4">
        <v>0.68419679166</v>
      </c>
      <c r="AE936" t="str">
        <f t="shared" si="14"/>
        <v>2017-03</v>
      </c>
      <c r="AJ936" s="5"/>
    </row>
    <row r="937">
      <c r="A937" s="34" t="s">
        <v>170</v>
      </c>
      <c r="B937" s="4">
        <v>4.0</v>
      </c>
      <c r="AB937" s="36">
        <v>42823.0</v>
      </c>
      <c r="AC937" s="4">
        <v>0.723374500504</v>
      </c>
      <c r="AE937" t="str">
        <f t="shared" si="14"/>
        <v>2017-03</v>
      </c>
      <c r="AJ937" s="5"/>
    </row>
    <row r="938">
      <c r="A938" s="4" t="s">
        <v>171</v>
      </c>
      <c r="B938" s="4">
        <v>5.0</v>
      </c>
      <c r="AB938" s="36">
        <v>42828.0</v>
      </c>
      <c r="AC938" s="4">
        <v>0.734053323349</v>
      </c>
      <c r="AE938" t="str">
        <f t="shared" si="14"/>
        <v>2017-04</v>
      </c>
      <c r="AJ938" s="5"/>
    </row>
    <row r="939">
      <c r="A939" s="4" t="s">
        <v>31</v>
      </c>
      <c r="B939" s="4">
        <v>2.0</v>
      </c>
      <c r="AB939" s="36">
        <v>42829.0</v>
      </c>
      <c r="AC939" s="4">
        <v>0.71215041907</v>
      </c>
      <c r="AE939" t="str">
        <f t="shared" si="14"/>
        <v>2017-04</v>
      </c>
      <c r="AJ939" s="5"/>
    </row>
    <row r="940">
      <c r="A940" s="4" t="s">
        <v>172</v>
      </c>
      <c r="B940" s="4">
        <v>2.0</v>
      </c>
      <c r="AB940" s="36">
        <v>42830.0</v>
      </c>
      <c r="AC940" s="4">
        <v>0.727172344089</v>
      </c>
      <c r="AE940" t="str">
        <f t="shared" si="14"/>
        <v>2017-04</v>
      </c>
      <c r="AJ940" s="5"/>
    </row>
    <row r="941">
      <c r="AB941" s="36">
        <v>42836.0</v>
      </c>
      <c r="AC941" s="4">
        <v>0.739413845014</v>
      </c>
      <c r="AE941" t="str">
        <f t="shared" si="14"/>
        <v>2017-04</v>
      </c>
      <c r="AJ941" s="5"/>
    </row>
    <row r="942">
      <c r="B942" s="4" t="s">
        <v>173</v>
      </c>
      <c r="C942" s="4" t="s">
        <v>172</v>
      </c>
      <c r="D942" s="4" t="s">
        <v>32</v>
      </c>
      <c r="E942" s="4" t="s">
        <v>31</v>
      </c>
      <c r="F942" s="4" t="s">
        <v>170</v>
      </c>
      <c r="G942" s="4" t="s">
        <v>169</v>
      </c>
      <c r="AB942" s="36">
        <v>42837.0</v>
      </c>
      <c r="AC942" s="4">
        <v>0.701286432048</v>
      </c>
      <c r="AE942" t="str">
        <f t="shared" si="14"/>
        <v>2017-04</v>
      </c>
      <c r="AJ942" s="5"/>
    </row>
    <row r="943">
      <c r="A943" s="4" t="s">
        <v>174</v>
      </c>
      <c r="B943" s="4">
        <v>155.0</v>
      </c>
      <c r="C943" s="4">
        <v>0.0</v>
      </c>
      <c r="D943" s="4">
        <v>353.0</v>
      </c>
      <c r="E943" s="4">
        <v>1284.0</v>
      </c>
      <c r="F943" s="4">
        <v>73.0</v>
      </c>
      <c r="G943" s="4">
        <v>1615.0</v>
      </c>
      <c r="AB943" s="36">
        <v>42843.0</v>
      </c>
      <c r="AC943" s="4">
        <v>0.756949891686</v>
      </c>
      <c r="AE943" t="str">
        <f t="shared" si="14"/>
        <v>2017-04</v>
      </c>
      <c r="AJ943" s="5"/>
    </row>
    <row r="944">
      <c r="A944" s="4" t="s">
        <v>175</v>
      </c>
      <c r="B944" s="4">
        <v>5.0</v>
      </c>
      <c r="C944" s="4">
        <v>2.0</v>
      </c>
      <c r="D944" s="4">
        <v>0.0</v>
      </c>
      <c r="E944" s="4">
        <v>2.0</v>
      </c>
      <c r="F944" s="4">
        <v>4.0</v>
      </c>
      <c r="G944" s="4">
        <v>2.0</v>
      </c>
      <c r="AB944" s="36">
        <v>42844.0</v>
      </c>
      <c r="AC944" s="4">
        <v>0.772904622486</v>
      </c>
      <c r="AE944" t="str">
        <f t="shared" si="14"/>
        <v>2017-04</v>
      </c>
      <c r="AJ944" s="5"/>
    </row>
    <row r="945">
      <c r="A945" s="4" t="s">
        <v>176</v>
      </c>
      <c r="B945" s="4">
        <v>0.2747</v>
      </c>
      <c r="E945" s="4">
        <v>0.2822</v>
      </c>
      <c r="F945" s="4">
        <v>0.2425</v>
      </c>
      <c r="G945" s="4">
        <v>0.26505</v>
      </c>
      <c r="AB945" s="36">
        <v>42849.0</v>
      </c>
      <c r="AC945" s="4">
        <v>0.701087913939</v>
      </c>
      <c r="AE945" t="str">
        <f t="shared" si="14"/>
        <v>2017-04</v>
      </c>
      <c r="AJ945" s="5"/>
    </row>
    <row r="946">
      <c r="A946" s="70"/>
      <c r="B946" s="70"/>
      <c r="C946" s="70"/>
      <c r="D946" s="70"/>
      <c r="E946" s="70"/>
      <c r="F946" s="70"/>
      <c r="G946" s="70"/>
      <c r="H946" s="70"/>
      <c r="AB946" s="36">
        <v>42850.0</v>
      </c>
      <c r="AC946" s="4">
        <v>0.782068804234</v>
      </c>
      <c r="AE946" t="str">
        <f t="shared" si="14"/>
        <v>2017-04</v>
      </c>
      <c r="AJ946" s="5"/>
    </row>
    <row r="947">
      <c r="A947" s="74" t="s">
        <v>177</v>
      </c>
      <c r="B947" s="73"/>
      <c r="C947" s="73"/>
      <c r="D947" s="73"/>
      <c r="E947" s="73"/>
      <c r="F947" s="73"/>
      <c r="G947" s="73"/>
      <c r="H947" s="73"/>
      <c r="AB947" s="36">
        <v>42851.0</v>
      </c>
      <c r="AC947" s="4">
        <v>0.763067302785</v>
      </c>
      <c r="AE947" t="str">
        <f t="shared" si="14"/>
        <v>2017-04</v>
      </c>
      <c r="AJ947" s="5"/>
    </row>
    <row r="948">
      <c r="A948" s="4" t="s">
        <v>178</v>
      </c>
      <c r="AB948" s="36">
        <v>42857.0</v>
      </c>
      <c r="AC948" s="4">
        <v>0.788753841046</v>
      </c>
      <c r="AE948" t="str">
        <f t="shared" si="14"/>
        <v>2017-05</v>
      </c>
      <c r="AJ948" s="5"/>
    </row>
    <row r="949">
      <c r="A949" s="75" t="s">
        <v>179</v>
      </c>
      <c r="B949" s="76">
        <v>0.396718173482</v>
      </c>
      <c r="AB949" s="36">
        <v>42858.0</v>
      </c>
      <c r="AC949" s="4">
        <v>0.751579734089</v>
      </c>
      <c r="AE949" t="str">
        <f t="shared" si="14"/>
        <v>2017-05</v>
      </c>
      <c r="AJ949" s="5"/>
    </row>
    <row r="950">
      <c r="A950" s="75" t="s">
        <v>180</v>
      </c>
      <c r="B950" s="76">
        <v>0.481383590805</v>
      </c>
      <c r="AB950" s="36">
        <v>42864.0</v>
      </c>
      <c r="AC950" s="4">
        <v>0.739689191738</v>
      </c>
      <c r="AE950" t="str">
        <f t="shared" si="14"/>
        <v>2017-05</v>
      </c>
      <c r="AJ950" s="5"/>
    </row>
    <row r="951">
      <c r="AB951" s="36">
        <v>42865.0</v>
      </c>
      <c r="AC951" s="4">
        <v>0.780715673247</v>
      </c>
      <c r="AE951" t="str">
        <f t="shared" si="14"/>
        <v>2017-05</v>
      </c>
      <c r="AJ951" s="5"/>
    </row>
    <row r="952">
      <c r="AB952" s="36">
        <v>42871.0</v>
      </c>
      <c r="AC952" s="4">
        <v>0.744124076021</v>
      </c>
      <c r="AE952" t="str">
        <f t="shared" si="14"/>
        <v>2017-05</v>
      </c>
      <c r="AJ952" s="5"/>
    </row>
    <row r="953">
      <c r="A953" s="77" t="s">
        <v>181</v>
      </c>
      <c r="B953" s="4" t="s">
        <v>32</v>
      </c>
      <c r="C953" s="4" t="s">
        <v>31</v>
      </c>
      <c r="D953" s="4" t="s">
        <v>169</v>
      </c>
      <c r="E953" s="4" t="s">
        <v>30</v>
      </c>
      <c r="AB953" s="36">
        <v>42872.0</v>
      </c>
      <c r="AC953" s="4">
        <v>0.754383727653</v>
      </c>
      <c r="AE953" t="str">
        <f t="shared" si="14"/>
        <v>2017-05</v>
      </c>
      <c r="AJ953" s="5"/>
    </row>
    <row r="954">
      <c r="A954" s="4" t="s">
        <v>174</v>
      </c>
      <c r="B954" s="4">
        <v>353.0</v>
      </c>
      <c r="C954" s="4">
        <v>1284.0</v>
      </c>
      <c r="D954" s="4">
        <v>1615.0</v>
      </c>
      <c r="E954" s="4">
        <v>2225.0</v>
      </c>
      <c r="AB954" s="36">
        <v>42878.0</v>
      </c>
      <c r="AC954" s="4">
        <v>0.692661611196</v>
      </c>
      <c r="AE954" t="str">
        <f t="shared" si="14"/>
        <v>2017-05</v>
      </c>
      <c r="AJ954" s="5"/>
    </row>
    <row r="955">
      <c r="A955" s="4" t="s">
        <v>175</v>
      </c>
      <c r="B955" s="4">
        <v>20.0</v>
      </c>
      <c r="C955" s="4">
        <v>13.0</v>
      </c>
      <c r="D955" s="4">
        <v>108.0</v>
      </c>
      <c r="E955" s="4">
        <v>43.0</v>
      </c>
      <c r="AB955" s="36">
        <v>42879.0</v>
      </c>
      <c r="AC955" s="4">
        <v>0.833083013365</v>
      </c>
      <c r="AE955" t="str">
        <f t="shared" si="14"/>
        <v>2017-05</v>
      </c>
      <c r="AJ955" s="5"/>
    </row>
    <row r="956">
      <c r="A956" s="4" t="s">
        <v>176</v>
      </c>
      <c r="B956" s="4">
        <v>0.288</v>
      </c>
      <c r="C956" s="4">
        <v>0.3239</v>
      </c>
      <c r="AB956" s="36">
        <v>42885.0</v>
      </c>
      <c r="AC956" s="4">
        <v>0.760974294997</v>
      </c>
      <c r="AE956" t="str">
        <f t="shared" si="14"/>
        <v>2017-05</v>
      </c>
      <c r="AJ956" s="5"/>
    </row>
    <row r="957">
      <c r="AB957" s="36">
        <v>42886.0</v>
      </c>
      <c r="AC957" s="4">
        <v>0.751579734089</v>
      </c>
      <c r="AE957" t="str">
        <f t="shared" si="14"/>
        <v>2017-05</v>
      </c>
      <c r="AJ957" s="5"/>
    </row>
    <row r="958">
      <c r="AB958" s="36">
        <v>42891.0</v>
      </c>
      <c r="AC958" s="4">
        <v>0.864465441505</v>
      </c>
      <c r="AE958" t="str">
        <f t="shared" si="14"/>
        <v>2017-06</v>
      </c>
      <c r="AJ958" s="5"/>
    </row>
    <row r="959">
      <c r="AB959" s="36">
        <v>42892.0</v>
      </c>
      <c r="AC959" s="4">
        <v>0.77375767901</v>
      </c>
      <c r="AE959" t="str">
        <f t="shared" si="14"/>
        <v>2017-06</v>
      </c>
      <c r="AJ959" s="5"/>
    </row>
    <row r="960">
      <c r="AB960" s="36">
        <v>42893.0</v>
      </c>
      <c r="AC960" s="4">
        <v>0.778076087465</v>
      </c>
      <c r="AE960" t="str">
        <f t="shared" si="14"/>
        <v>2017-06</v>
      </c>
      <c r="AJ960" s="5"/>
    </row>
    <row r="961">
      <c r="AB961" s="36">
        <v>42899.0</v>
      </c>
      <c r="AC961" s="4">
        <v>0.764756438015</v>
      </c>
      <c r="AE961" t="str">
        <f t="shared" si="14"/>
        <v>2017-06</v>
      </c>
      <c r="AJ961" s="5"/>
    </row>
    <row r="962">
      <c r="AB962" s="36">
        <v>42900.0</v>
      </c>
      <c r="AC962" s="4">
        <v>0.60115982443</v>
      </c>
      <c r="AE962" t="str">
        <f t="shared" si="14"/>
        <v>2017-06</v>
      </c>
      <c r="AJ962" s="5"/>
    </row>
    <row r="963">
      <c r="AB963" s="36">
        <v>42906.0</v>
      </c>
      <c r="AC963" s="4">
        <v>0.696130326652</v>
      </c>
      <c r="AE963" t="str">
        <f t="shared" si="14"/>
        <v>2017-06</v>
      </c>
      <c r="AJ963" s="5"/>
    </row>
    <row r="964">
      <c r="AB964" s="36">
        <v>42907.0</v>
      </c>
      <c r="AC964" s="4">
        <v>0.72074323747</v>
      </c>
      <c r="AE964" t="str">
        <f t="shared" si="14"/>
        <v>2017-06</v>
      </c>
      <c r="AJ964" s="5"/>
    </row>
    <row r="965">
      <c r="AB965" s="36">
        <v>42913.0</v>
      </c>
      <c r="AC965" s="4">
        <v>0.746592490964</v>
      </c>
      <c r="AE965" t="str">
        <f t="shared" si="14"/>
        <v>2017-06</v>
      </c>
      <c r="AJ965" s="5"/>
    </row>
    <row r="966">
      <c r="AB966" s="36">
        <v>42914.0</v>
      </c>
      <c r="AC966" s="4">
        <v>0.758651609108</v>
      </c>
      <c r="AE966" t="str">
        <f t="shared" si="14"/>
        <v>2017-06</v>
      </c>
      <c r="AJ966" s="5"/>
    </row>
    <row r="967">
      <c r="AB967" s="36">
        <v>42920.0</v>
      </c>
      <c r="AC967" s="4">
        <v>0.743933569659</v>
      </c>
      <c r="AE967" t="str">
        <f t="shared" si="14"/>
        <v>2017-07</v>
      </c>
      <c r="AJ967" s="5"/>
    </row>
    <row r="968">
      <c r="AB968" s="36">
        <v>42921.0</v>
      </c>
      <c r="AC968" s="4">
        <v>0.429901934184</v>
      </c>
      <c r="AE968" t="str">
        <f t="shared" si="14"/>
        <v>2017-07</v>
      </c>
      <c r="AJ968" s="5"/>
    </row>
    <row r="969">
      <c r="AB969" s="36">
        <v>42927.0</v>
      </c>
      <c r="AC969" s="4">
        <v>0.678369287961</v>
      </c>
      <c r="AE969" t="str">
        <f t="shared" si="14"/>
        <v>2017-07</v>
      </c>
      <c r="AJ969" s="5"/>
    </row>
    <row r="970">
      <c r="AB970" s="36">
        <v>42928.0</v>
      </c>
      <c r="AC970" s="4">
        <v>0.612381314627</v>
      </c>
      <c r="AE970" t="str">
        <f t="shared" si="14"/>
        <v>2017-07</v>
      </c>
      <c r="AJ970" s="5"/>
    </row>
    <row r="971">
      <c r="AB971" s="36">
        <v>42934.0</v>
      </c>
      <c r="AC971" s="4">
        <v>0.696802560488</v>
      </c>
      <c r="AE971" t="str">
        <f t="shared" si="14"/>
        <v>2017-07</v>
      </c>
      <c r="AJ971" s="5"/>
    </row>
    <row r="972">
      <c r="AB972" s="36">
        <v>42935.0</v>
      </c>
      <c r="AC972" s="4">
        <v>0.634468672244</v>
      </c>
      <c r="AE972" t="str">
        <f t="shared" si="14"/>
        <v>2017-07</v>
      </c>
      <c r="AJ972" s="5"/>
    </row>
    <row r="973">
      <c r="AB973" s="36">
        <v>42941.0</v>
      </c>
      <c r="AC973" s="4">
        <v>0.728383026233</v>
      </c>
      <c r="AE973" t="str">
        <f t="shared" si="14"/>
        <v>2017-07</v>
      </c>
      <c r="AJ973" s="5"/>
    </row>
    <row r="974">
      <c r="AB974" s="36">
        <v>42942.0</v>
      </c>
      <c r="AC974" s="4">
        <v>0.75391976405</v>
      </c>
      <c r="AE974" t="str">
        <f t="shared" si="14"/>
        <v>2017-07</v>
      </c>
      <c r="AJ974" s="5"/>
    </row>
    <row r="975">
      <c r="AB975" s="36">
        <v>42948.0</v>
      </c>
      <c r="AC975" s="4">
        <v>0.715009988788</v>
      </c>
      <c r="AE975" t="str">
        <f t="shared" si="14"/>
        <v>2017-08</v>
      </c>
      <c r="AJ975" s="5"/>
    </row>
    <row r="976">
      <c r="AB976" s="36">
        <v>42949.0</v>
      </c>
      <c r="AC976" s="4">
        <v>0.677672623097</v>
      </c>
      <c r="AE976" t="str">
        <f t="shared" si="14"/>
        <v>2017-08</v>
      </c>
      <c r="AJ976" s="5"/>
    </row>
    <row r="977">
      <c r="AB977" s="36">
        <v>42955.0</v>
      </c>
      <c r="AC977" s="4">
        <v>0.719257914861</v>
      </c>
      <c r="AE977" t="str">
        <f t="shared" si="14"/>
        <v>2017-08</v>
      </c>
      <c r="AJ977" s="5"/>
    </row>
    <row r="978">
      <c r="AB978" s="36">
        <v>42956.0</v>
      </c>
      <c r="AC978" s="4">
        <v>0.751579734089</v>
      </c>
      <c r="AE978" t="str">
        <f t="shared" si="14"/>
        <v>2017-08</v>
      </c>
      <c r="AJ978" s="5"/>
    </row>
    <row r="979">
      <c r="AB979" s="36">
        <v>42961.0</v>
      </c>
      <c r="AC979" s="4">
        <v>0.711349432587</v>
      </c>
      <c r="AE979" t="str">
        <f t="shared" si="14"/>
        <v>2017-08</v>
      </c>
      <c r="AJ979" s="5"/>
    </row>
    <row r="980">
      <c r="AB980" s="36">
        <v>42962.0</v>
      </c>
      <c r="AC980" s="4">
        <v>0.659266146126</v>
      </c>
      <c r="AE980" t="str">
        <f t="shared" si="14"/>
        <v>2017-08</v>
      </c>
      <c r="AJ980" s="5"/>
    </row>
    <row r="981">
      <c r="AB981" s="36">
        <v>42963.0</v>
      </c>
      <c r="AC981" s="4">
        <v>0.764261940837</v>
      </c>
      <c r="AE981" t="str">
        <f t="shared" si="14"/>
        <v>2017-08</v>
      </c>
      <c r="AJ981" s="5"/>
    </row>
    <row r="982">
      <c r="AB982" s="36">
        <v>42968.0</v>
      </c>
      <c r="AC982" s="4">
        <v>0.796837765675</v>
      </c>
      <c r="AE982" t="str">
        <f t="shared" si="14"/>
        <v>2017-08</v>
      </c>
      <c r="AJ982" s="5"/>
    </row>
    <row r="983">
      <c r="AB983" s="36">
        <v>42969.0</v>
      </c>
      <c r="AC983" s="4">
        <v>0.777929019421</v>
      </c>
      <c r="AE983" t="str">
        <f t="shared" si="14"/>
        <v>2017-08</v>
      </c>
      <c r="AJ983" s="5"/>
    </row>
    <row r="984">
      <c r="AB984" s="36">
        <v>42970.0</v>
      </c>
      <c r="AC984" s="4">
        <v>0.751579734089</v>
      </c>
      <c r="AE984" t="str">
        <f t="shared" si="14"/>
        <v>2017-08</v>
      </c>
      <c r="AJ984" s="5"/>
    </row>
    <row r="985">
      <c r="AB985" s="36">
        <v>42976.0</v>
      </c>
      <c r="AC985" s="4">
        <v>0.679327283353</v>
      </c>
      <c r="AE985" t="str">
        <f t="shared" si="14"/>
        <v>2017-08</v>
      </c>
      <c r="AJ985" s="5"/>
    </row>
    <row r="986">
      <c r="AB986" s="36">
        <v>42977.0</v>
      </c>
      <c r="AC986" s="4">
        <v>0.751579734089</v>
      </c>
      <c r="AE986" t="str">
        <f t="shared" si="14"/>
        <v>2017-08</v>
      </c>
      <c r="AJ986" s="5"/>
    </row>
    <row r="987">
      <c r="AB987" s="36">
        <v>42983.0</v>
      </c>
      <c r="AC987" s="4">
        <v>0.691239815435</v>
      </c>
      <c r="AE987" t="str">
        <f t="shared" si="14"/>
        <v>2017-09</v>
      </c>
      <c r="AJ987" s="5"/>
    </row>
    <row r="988">
      <c r="AB988" s="36">
        <v>42984.0</v>
      </c>
      <c r="AC988" s="4">
        <v>0.756956104781</v>
      </c>
      <c r="AE988" t="str">
        <f t="shared" si="14"/>
        <v>2017-09</v>
      </c>
      <c r="AJ988" s="5"/>
    </row>
    <row r="989">
      <c r="AB989" s="36">
        <v>42990.0</v>
      </c>
      <c r="AC989" s="4">
        <v>0.723736303934</v>
      </c>
      <c r="AE989" t="str">
        <f t="shared" si="14"/>
        <v>2017-09</v>
      </c>
      <c r="AJ989" s="5"/>
    </row>
    <row r="990">
      <c r="AB990" s="36">
        <v>42991.0</v>
      </c>
      <c r="AC990" s="4">
        <v>0.816187880566</v>
      </c>
      <c r="AE990" t="str">
        <f t="shared" si="14"/>
        <v>2017-09</v>
      </c>
      <c r="AJ990" s="5"/>
    </row>
    <row r="991">
      <c r="AB991" s="36">
        <v>42997.0</v>
      </c>
      <c r="AC991" s="4">
        <v>0.735790969174</v>
      </c>
      <c r="AE991" t="str">
        <f t="shared" si="14"/>
        <v>2017-09</v>
      </c>
      <c r="AJ991" s="5"/>
    </row>
    <row r="992">
      <c r="AB992" s="36">
        <v>42998.0</v>
      </c>
      <c r="AC992" s="4">
        <v>0.769642011744</v>
      </c>
      <c r="AE992" t="str">
        <f t="shared" si="14"/>
        <v>2017-09</v>
      </c>
      <c r="AJ992" s="5"/>
    </row>
    <row r="993">
      <c r="AB993" s="36">
        <v>43004.0</v>
      </c>
      <c r="AC993" s="4">
        <v>0.685081401017</v>
      </c>
      <c r="AE993" t="str">
        <f t="shared" si="14"/>
        <v>2017-09</v>
      </c>
      <c r="AJ993" s="5"/>
    </row>
    <row r="994">
      <c r="AB994" s="36">
        <v>43005.0</v>
      </c>
      <c r="AC994" s="4">
        <v>0.662857845113</v>
      </c>
      <c r="AE994" t="str">
        <f t="shared" si="14"/>
        <v>2017-09</v>
      </c>
      <c r="AJ994" s="5"/>
    </row>
    <row r="995">
      <c r="AB995" s="36">
        <v>43011.0</v>
      </c>
      <c r="AC995" s="4">
        <v>0.721962121491</v>
      </c>
      <c r="AE995" t="str">
        <f t="shared" si="14"/>
        <v>2017-10</v>
      </c>
      <c r="AJ995" s="5"/>
    </row>
    <row r="996">
      <c r="AB996" s="36">
        <v>43012.0</v>
      </c>
      <c r="AC996" s="4">
        <v>0.704560201592</v>
      </c>
      <c r="AE996" t="str">
        <f t="shared" si="14"/>
        <v>2017-10</v>
      </c>
      <c r="AJ996" s="5"/>
    </row>
    <row r="997">
      <c r="AB997" s="36">
        <v>43018.0</v>
      </c>
      <c r="AC997" s="4">
        <v>0.716005773508</v>
      </c>
      <c r="AE997" t="str">
        <f t="shared" si="14"/>
        <v>2017-10</v>
      </c>
      <c r="AJ997" s="5"/>
    </row>
    <row r="998">
      <c r="AB998" s="36">
        <v>43019.0</v>
      </c>
      <c r="AC998" s="4">
        <v>0.701919464936</v>
      </c>
      <c r="AE998" t="str">
        <f t="shared" si="14"/>
        <v>2017-10</v>
      </c>
      <c r="AJ998" s="5"/>
    </row>
    <row r="999">
      <c r="AJ999" s="5"/>
    </row>
    <row r="1000">
      <c r="AJ1000" s="5"/>
    </row>
    <row r="1001">
      <c r="AJ1001" s="5"/>
    </row>
    <row r="1002">
      <c r="AJ1002" s="5"/>
    </row>
    <row r="1003">
      <c r="AJ1003" s="5"/>
    </row>
    <row r="1004">
      <c r="AJ1004" s="5"/>
    </row>
    <row r="1005">
      <c r="AJ1005" s="5"/>
    </row>
    <row r="1006">
      <c r="AJ1006" s="5"/>
    </row>
    <row r="1007">
      <c r="AJ1007" s="5"/>
    </row>
    <row r="1008">
      <c r="AJ1008" s="5"/>
    </row>
    <row r="1009">
      <c r="AJ1009" s="5"/>
    </row>
    <row r="1010">
      <c r="AJ1010" s="5"/>
    </row>
    <row r="1011">
      <c r="AJ1011" s="5"/>
    </row>
    <row r="1012">
      <c r="AJ1012" s="5"/>
    </row>
    <row r="1013">
      <c r="AJ1013" s="5"/>
    </row>
  </sheetData>
  <mergeCells count="24">
    <mergeCell ref="A92:C92"/>
    <mergeCell ref="A929:C929"/>
    <mergeCell ref="C934:C940"/>
    <mergeCell ref="E17:G17"/>
    <mergeCell ref="I17:K17"/>
    <mergeCell ref="T3:U3"/>
    <mergeCell ref="Z3:AA3"/>
    <mergeCell ref="B2:G2"/>
    <mergeCell ref="B3:C3"/>
    <mergeCell ref="T2:Y2"/>
    <mergeCell ref="H2:M2"/>
    <mergeCell ref="N2:S2"/>
    <mergeCell ref="N3:O3"/>
    <mergeCell ref="H3:I3"/>
    <mergeCell ref="Z2:AE2"/>
    <mergeCell ref="AG92:AK92"/>
    <mergeCell ref="AL92:AP92"/>
    <mergeCell ref="AB92:AF92"/>
    <mergeCell ref="Q92:U92"/>
    <mergeCell ref="L92:P92"/>
    <mergeCell ref="G92:K92"/>
    <mergeCell ref="B17:D17"/>
    <mergeCell ref="A90:E90"/>
    <mergeCell ref="A15:C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  <col customWidth="1" min="9" max="9" width="16.86"/>
    <col customWidth="1" min="18" max="18" width="32.29"/>
  </cols>
  <sheetData>
    <row r="1">
      <c r="C1" s="51" t="s">
        <v>43</v>
      </c>
      <c r="E1" s="38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22" t="s">
        <v>43</v>
      </c>
      <c r="J1" s="20" t="s">
        <v>44</v>
      </c>
      <c r="K1" s="49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  <c r="S1" t="s">
        <v>45</v>
      </c>
      <c r="T1" s="52" t="s">
        <v>46</v>
      </c>
    </row>
    <row r="2">
      <c r="C2" s="54">
        <f t="shared" ref="C2:C101" si="1">B2-$B$102</f>
        <v>0.117167345</v>
      </c>
      <c r="D2" s="45"/>
      <c r="E2" s="36">
        <v>39975.0</v>
      </c>
      <c r="F2" t="str">
        <f t="shared" ref="F2:F439" si="2">TEXT(E2, "YYYY-MM")</f>
        <v>2009-06</v>
      </c>
      <c r="G2" s="55" t="str">
        <f>IFERROR(__xludf.DUMMYFUNCTION("""COMPUTED_VALUE"""),"2009-06")</f>
        <v>2009-06</v>
      </c>
      <c r="H2" s="52">
        <f>IFERROR(__xludf.DUMMYFUNCTION("""COMPUTED_VALUE"""),5.0)</f>
        <v>5</v>
      </c>
      <c r="I2" s="56">
        <f t="shared" ref="I2:I100" si="3">LOOKUP(G3, $A$1:A$101,$C$1:$C$101)</f>
        <v>-0.01943172897</v>
      </c>
      <c r="J2" s="45">
        <v>0.0</v>
      </c>
      <c r="K2" t="str">
        <f>IFERROR(__xludf.DUMMYFUNCTION("""COMPUTED_VALUE"""),"2009-06")</f>
        <v>2009-06</v>
      </c>
      <c r="L2">
        <f>IFERROR(__xludf.DUMMYFUNCTION("""COMPUTED_VALUE"""),95.0)</f>
        <v>95</v>
      </c>
      <c r="S2" t="s">
        <v>47</v>
      </c>
      <c r="T2" s="52">
        <v>5.0</v>
      </c>
      <c r="U2" s="57">
        <f t="shared" ref="U2:U99" si="4">I3-I2</f>
        <v>0.1480712898</v>
      </c>
    </row>
    <row r="3">
      <c r="C3" s="54">
        <f t="shared" si="1"/>
        <v>-0.01943172897</v>
      </c>
      <c r="D3" s="45"/>
      <c r="E3" s="36">
        <v>39976.0</v>
      </c>
      <c r="F3" t="str">
        <f t="shared" si="2"/>
        <v>2009-06</v>
      </c>
      <c r="G3" t="str">
        <f>IFERROR(__xludf.DUMMYFUNCTION("""COMPUTED_VALUE"""),"2009-07")</f>
        <v>2009-07</v>
      </c>
      <c r="H3" s="52">
        <f>IFERROR(__xludf.DUMMYFUNCTION("""COMPUTED_VALUE"""),1.0)</f>
        <v>1</v>
      </c>
      <c r="I3" s="56">
        <f t="shared" si="3"/>
        <v>0.1286395608</v>
      </c>
      <c r="J3" s="45">
        <v>5.0</v>
      </c>
      <c r="K3" t="str">
        <f>IFERROR(__xludf.DUMMYFUNCTION("""COMPUTED_VALUE"""),"2009-07")</f>
        <v>2009-07</v>
      </c>
      <c r="L3">
        <f>IFERROR(__xludf.DUMMYFUNCTION("""COMPUTED_VALUE"""),45.0)</f>
        <v>45</v>
      </c>
      <c r="S3" t="s">
        <v>48</v>
      </c>
      <c r="T3" s="52">
        <v>1.0</v>
      </c>
      <c r="U3" s="57">
        <f t="shared" si="4"/>
        <v>-0.1774616289</v>
      </c>
    </row>
    <row r="4">
      <c r="C4" s="54">
        <f t="shared" si="1"/>
        <v>0.1286395608</v>
      </c>
      <c r="D4" s="45"/>
      <c r="E4" s="36">
        <v>39982.0</v>
      </c>
      <c r="F4" t="str">
        <f t="shared" si="2"/>
        <v>2009-06</v>
      </c>
      <c r="G4" t="str">
        <f>IFERROR(__xludf.DUMMYFUNCTION("""COMPUTED_VALUE"""),"2009-08")</f>
        <v>2009-08</v>
      </c>
      <c r="H4" s="52">
        <f>IFERROR(__xludf.DUMMYFUNCTION("""COMPUTED_VALUE"""),6.0)</f>
        <v>6</v>
      </c>
      <c r="I4" s="56">
        <f t="shared" si="3"/>
        <v>-0.04882206812</v>
      </c>
      <c r="J4" s="45">
        <v>22.0</v>
      </c>
      <c r="K4" t="str">
        <f>IFERROR(__xludf.DUMMYFUNCTION("""COMPUTED_VALUE"""),"2009-08")</f>
        <v>2009-08</v>
      </c>
      <c r="L4">
        <f>IFERROR(__xludf.DUMMYFUNCTION("""COMPUTED_VALUE"""),85.0)</f>
        <v>85</v>
      </c>
      <c r="S4" t="s">
        <v>49</v>
      </c>
      <c r="T4" s="52">
        <v>6.0</v>
      </c>
      <c r="U4" s="57">
        <f t="shared" si="4"/>
        <v>0.03392387173</v>
      </c>
    </row>
    <row r="5">
      <c r="C5" s="54">
        <f t="shared" si="1"/>
        <v>-0.04882206812</v>
      </c>
      <c r="D5" s="45"/>
      <c r="E5" s="36">
        <v>39988.0</v>
      </c>
      <c r="F5" t="str">
        <f t="shared" si="2"/>
        <v>2009-06</v>
      </c>
      <c r="G5" t="str">
        <f>IFERROR(__xludf.DUMMYFUNCTION("""COMPUTED_VALUE"""),"2009-09")</f>
        <v>2009-09</v>
      </c>
      <c r="H5" s="52">
        <f>IFERROR(__xludf.DUMMYFUNCTION("""COMPUTED_VALUE"""),6.0)</f>
        <v>6</v>
      </c>
      <c r="I5" s="56">
        <f t="shared" si="3"/>
        <v>-0.01489819638</v>
      </c>
      <c r="J5" s="45">
        <v>36.0</v>
      </c>
      <c r="K5" t="str">
        <f>IFERROR(__xludf.DUMMYFUNCTION("""COMPUTED_VALUE"""),"2009-09")</f>
        <v>2009-09</v>
      </c>
      <c r="L5">
        <f>IFERROR(__xludf.DUMMYFUNCTION("""COMPUTED_VALUE"""),141.0)</f>
        <v>141</v>
      </c>
      <c r="S5" t="s">
        <v>50</v>
      </c>
      <c r="T5" s="52">
        <v>6.0</v>
      </c>
      <c r="U5" s="57">
        <f t="shared" si="4"/>
        <v>-0.0120990378</v>
      </c>
    </row>
    <row r="6">
      <c r="C6" s="54">
        <f t="shared" si="1"/>
        <v>-0.01489819638</v>
      </c>
      <c r="D6" s="45"/>
      <c r="E6" s="36">
        <v>39994.0</v>
      </c>
      <c r="F6" t="str">
        <f t="shared" si="2"/>
        <v>2009-06</v>
      </c>
      <c r="G6" t="str">
        <f>IFERROR(__xludf.DUMMYFUNCTION("""COMPUTED_VALUE"""),"2009-10")</f>
        <v>2009-10</v>
      </c>
      <c r="H6" s="52">
        <f>IFERROR(__xludf.DUMMYFUNCTION("""COMPUTED_VALUE"""),2.0)</f>
        <v>2</v>
      </c>
      <c r="I6" s="56">
        <f t="shared" si="3"/>
        <v>-0.02699723418</v>
      </c>
      <c r="J6" s="45">
        <v>32.0</v>
      </c>
      <c r="K6" t="str">
        <f>IFERROR(__xludf.DUMMYFUNCTION("""COMPUTED_VALUE"""),"2009-10")</f>
        <v>2009-10</v>
      </c>
      <c r="L6">
        <f>IFERROR(__xludf.DUMMYFUNCTION("""COMPUTED_VALUE"""),92.0)</f>
        <v>92</v>
      </c>
      <c r="S6" t="s">
        <v>51</v>
      </c>
      <c r="T6" s="52">
        <v>2.0</v>
      </c>
      <c r="U6" s="57">
        <f t="shared" si="4"/>
        <v>-0.0130318372</v>
      </c>
    </row>
    <row r="7">
      <c r="C7" s="54">
        <f t="shared" si="1"/>
        <v>-0.02699723418</v>
      </c>
      <c r="D7" s="45"/>
      <c r="E7" s="36">
        <v>40021.0</v>
      </c>
      <c r="F7" t="str">
        <f t="shared" si="2"/>
        <v>2009-07</v>
      </c>
      <c r="G7" t="str">
        <f>IFERROR(__xludf.DUMMYFUNCTION("""COMPUTED_VALUE"""),"2009-11")</f>
        <v>2009-11</v>
      </c>
      <c r="H7" s="52">
        <f>IFERROR(__xludf.DUMMYFUNCTION("""COMPUTED_VALUE"""),5.0)</f>
        <v>5</v>
      </c>
      <c r="I7" s="56">
        <f t="shared" si="3"/>
        <v>-0.04002907138</v>
      </c>
      <c r="J7" s="45">
        <v>45.0</v>
      </c>
      <c r="K7" t="str">
        <f>IFERROR(__xludf.DUMMYFUNCTION("""COMPUTED_VALUE"""),"2009-11")</f>
        <v>2009-11</v>
      </c>
      <c r="L7">
        <f>IFERROR(__xludf.DUMMYFUNCTION("""COMPUTED_VALUE"""),89.0)</f>
        <v>89</v>
      </c>
      <c r="S7" t="s">
        <v>52</v>
      </c>
      <c r="T7" s="52">
        <v>5.0</v>
      </c>
      <c r="U7" s="57">
        <f t="shared" si="4"/>
        <v>0.03488927406</v>
      </c>
    </row>
    <row r="8">
      <c r="C8" s="54">
        <f t="shared" si="1"/>
        <v>-0.04002907138</v>
      </c>
      <c r="D8" s="45"/>
      <c r="E8" s="36">
        <v>40026.0</v>
      </c>
      <c r="F8" t="str">
        <f t="shared" si="2"/>
        <v>2009-08</v>
      </c>
      <c r="G8" t="str">
        <f>IFERROR(__xludf.DUMMYFUNCTION("""COMPUTED_VALUE"""),"2009-12")</f>
        <v>2009-12</v>
      </c>
      <c r="H8" s="52">
        <f>IFERROR(__xludf.DUMMYFUNCTION("""COMPUTED_VALUE"""),4.0)</f>
        <v>4</v>
      </c>
      <c r="I8" s="56">
        <f t="shared" si="3"/>
        <v>-0.005139797318</v>
      </c>
      <c r="J8" s="45">
        <v>11.0</v>
      </c>
      <c r="K8" t="str">
        <f>IFERROR(__xludf.DUMMYFUNCTION("""COMPUTED_VALUE"""),"2009-12")</f>
        <v>2009-12</v>
      </c>
      <c r="L8">
        <f>IFERROR(__xludf.DUMMYFUNCTION("""COMPUTED_VALUE"""),73.0)</f>
        <v>73</v>
      </c>
      <c r="S8" t="s">
        <v>53</v>
      </c>
      <c r="T8" s="52">
        <v>4.0</v>
      </c>
      <c r="U8" s="57">
        <f t="shared" si="4"/>
        <v>-0.02957727437</v>
      </c>
    </row>
    <row r="9">
      <c r="C9" s="54">
        <f t="shared" si="1"/>
        <v>-0.005139797318</v>
      </c>
      <c r="D9" s="45"/>
      <c r="E9" s="36">
        <v>40031.0</v>
      </c>
      <c r="F9" t="str">
        <f t="shared" si="2"/>
        <v>2009-08</v>
      </c>
      <c r="G9" t="str">
        <f>IFERROR(__xludf.DUMMYFUNCTION("""COMPUTED_VALUE"""),"2010-01")</f>
        <v>2010-01</v>
      </c>
      <c r="H9" s="52">
        <f>IFERROR(__xludf.DUMMYFUNCTION("""COMPUTED_VALUE"""),2.0)</f>
        <v>2</v>
      </c>
      <c r="I9" s="56">
        <f t="shared" si="3"/>
        <v>-0.03471707168</v>
      </c>
      <c r="J9" s="45">
        <v>13.0</v>
      </c>
      <c r="K9" t="str">
        <f>IFERROR(__xludf.DUMMYFUNCTION("""COMPUTED_VALUE"""),"2010-01")</f>
        <v>2010-01</v>
      </c>
      <c r="L9">
        <f>IFERROR(__xludf.DUMMYFUNCTION("""COMPUTED_VALUE"""),58.0)</f>
        <v>58</v>
      </c>
      <c r="S9" t="s">
        <v>54</v>
      </c>
      <c r="T9" s="52">
        <v>2.0</v>
      </c>
      <c r="U9" s="57">
        <f t="shared" si="4"/>
        <v>0.03960781092</v>
      </c>
    </row>
    <row r="10">
      <c r="C10" s="54">
        <f t="shared" si="1"/>
        <v>-0.03471707168</v>
      </c>
      <c r="D10" s="45"/>
      <c r="E10" s="36">
        <v>40038.0</v>
      </c>
      <c r="F10" t="str">
        <f t="shared" si="2"/>
        <v>2009-08</v>
      </c>
      <c r="G10" t="str">
        <f>IFERROR(__xludf.DUMMYFUNCTION("""COMPUTED_VALUE"""),"2010-02")</f>
        <v>2010-02</v>
      </c>
      <c r="H10" s="52">
        <f>IFERROR(__xludf.DUMMYFUNCTION("""COMPUTED_VALUE"""),4.0)</f>
        <v>4</v>
      </c>
      <c r="I10" s="56">
        <f t="shared" si="3"/>
        <v>0.004890739232</v>
      </c>
      <c r="J10" s="45">
        <v>21.0</v>
      </c>
      <c r="K10" t="str">
        <f>IFERROR(__xludf.DUMMYFUNCTION("""COMPUTED_VALUE"""),"2010-02")</f>
        <v>2010-02</v>
      </c>
      <c r="L10">
        <f>IFERROR(__xludf.DUMMYFUNCTION("""COMPUTED_VALUE"""),127.0)</f>
        <v>127</v>
      </c>
      <c r="S10" t="s">
        <v>55</v>
      </c>
      <c r="T10" s="52">
        <v>4.0</v>
      </c>
      <c r="U10" s="57">
        <f t="shared" si="4"/>
        <v>0.01683416529</v>
      </c>
    </row>
    <row r="11">
      <c r="C11" s="54">
        <f t="shared" si="1"/>
        <v>0.004890739232</v>
      </c>
      <c r="D11" s="45"/>
      <c r="E11" s="36">
        <v>40046.0</v>
      </c>
      <c r="F11" t="str">
        <f t="shared" si="2"/>
        <v>2009-08</v>
      </c>
      <c r="G11" t="str">
        <f>IFERROR(__xludf.DUMMYFUNCTION("""COMPUTED_VALUE"""),"2010-03")</f>
        <v>2010-03</v>
      </c>
      <c r="H11" s="52">
        <f>IFERROR(__xludf.DUMMYFUNCTION("""COMPUTED_VALUE"""),3.0)</f>
        <v>3</v>
      </c>
      <c r="I11" s="56">
        <f t="shared" si="3"/>
        <v>0.02172490452</v>
      </c>
      <c r="J11" s="45">
        <v>12.0</v>
      </c>
      <c r="K11" t="str">
        <f>IFERROR(__xludf.DUMMYFUNCTION("""COMPUTED_VALUE"""),"2010-03")</f>
        <v>2010-03</v>
      </c>
      <c r="L11">
        <f>IFERROR(__xludf.DUMMYFUNCTION("""COMPUTED_VALUE"""),142.0)</f>
        <v>142</v>
      </c>
      <c r="S11" t="s">
        <v>56</v>
      </c>
      <c r="T11" s="52">
        <v>3.0</v>
      </c>
      <c r="U11" s="57">
        <f t="shared" si="4"/>
        <v>-0.04562267528</v>
      </c>
    </row>
    <row r="12">
      <c r="C12" s="54">
        <f t="shared" si="1"/>
        <v>0.02172490452</v>
      </c>
      <c r="D12" s="45"/>
      <c r="E12" s="36">
        <v>40047.0</v>
      </c>
      <c r="F12" t="str">
        <f t="shared" si="2"/>
        <v>2009-08</v>
      </c>
      <c r="G12" t="str">
        <f>IFERROR(__xludf.DUMMYFUNCTION("""COMPUTED_VALUE"""),"2010-04")</f>
        <v>2010-04</v>
      </c>
      <c r="H12" s="52">
        <f>IFERROR(__xludf.DUMMYFUNCTION("""COMPUTED_VALUE"""),4.0)</f>
        <v>4</v>
      </c>
      <c r="I12" s="56">
        <f t="shared" si="3"/>
        <v>-0.02389777076</v>
      </c>
      <c r="J12" s="45">
        <v>2.0</v>
      </c>
      <c r="K12" t="str">
        <f>IFERROR(__xludf.DUMMYFUNCTION("""COMPUTED_VALUE"""),"2010-04")</f>
        <v>2010-04</v>
      </c>
      <c r="L12">
        <f>IFERROR(__xludf.DUMMYFUNCTION("""COMPUTED_VALUE"""),343.0)</f>
        <v>343</v>
      </c>
      <c r="S12" t="s">
        <v>57</v>
      </c>
      <c r="T12" s="52">
        <v>4.0</v>
      </c>
      <c r="U12" s="57">
        <f t="shared" si="4"/>
        <v>0.004151706588</v>
      </c>
    </row>
    <row r="13">
      <c r="C13" s="54">
        <f t="shared" si="1"/>
        <v>-0.02389777076</v>
      </c>
      <c r="D13" s="45"/>
      <c r="E13" s="36">
        <v>40052.0</v>
      </c>
      <c r="F13" t="str">
        <f t="shared" si="2"/>
        <v>2009-08</v>
      </c>
      <c r="G13" t="str">
        <f>IFERROR(__xludf.DUMMYFUNCTION("""COMPUTED_VALUE"""),"2010-05")</f>
        <v>2010-05</v>
      </c>
      <c r="H13" s="52">
        <f>IFERROR(__xludf.DUMMYFUNCTION("""COMPUTED_VALUE"""),4.0)</f>
        <v>4</v>
      </c>
      <c r="I13" s="56">
        <f t="shared" si="3"/>
        <v>-0.01974606417</v>
      </c>
      <c r="J13" s="45">
        <v>26.0</v>
      </c>
      <c r="K13" t="str">
        <f>IFERROR(__xludf.DUMMYFUNCTION("""COMPUTED_VALUE"""),"2010-05")</f>
        <v>2010-05</v>
      </c>
      <c r="L13">
        <f>IFERROR(__xludf.DUMMYFUNCTION("""COMPUTED_VALUE"""),150.0)</f>
        <v>150</v>
      </c>
      <c r="S13" t="s">
        <v>58</v>
      </c>
      <c r="T13" s="52">
        <v>4.0</v>
      </c>
      <c r="U13" s="57">
        <f t="shared" si="4"/>
        <v>-0.01465734746</v>
      </c>
    </row>
    <row r="14">
      <c r="C14" s="54">
        <f t="shared" si="1"/>
        <v>-0.01974606417</v>
      </c>
      <c r="D14" s="45"/>
      <c r="E14" s="36">
        <v>40060.0</v>
      </c>
      <c r="F14" t="str">
        <f t="shared" si="2"/>
        <v>2009-09</v>
      </c>
      <c r="G14" t="str">
        <f>IFERROR(__xludf.DUMMYFUNCTION("""COMPUTED_VALUE"""),"2010-06")</f>
        <v>2010-06</v>
      </c>
      <c r="H14" s="52">
        <f>IFERROR(__xludf.DUMMYFUNCTION("""COMPUTED_VALUE"""),2.0)</f>
        <v>2</v>
      </c>
      <c r="I14" s="56">
        <f t="shared" si="3"/>
        <v>-0.03440341163</v>
      </c>
      <c r="J14" s="45">
        <v>29.0</v>
      </c>
      <c r="K14" t="str">
        <f>IFERROR(__xludf.DUMMYFUNCTION("""COMPUTED_VALUE"""),"2010-06")</f>
        <v>2010-06</v>
      </c>
      <c r="L14">
        <f>IFERROR(__xludf.DUMMYFUNCTION("""COMPUTED_VALUE"""),88.0)</f>
        <v>88</v>
      </c>
      <c r="S14" t="s">
        <v>59</v>
      </c>
      <c r="T14" s="52">
        <v>2.0</v>
      </c>
      <c r="U14" s="57">
        <f t="shared" si="4"/>
        <v>-0.00009546042597</v>
      </c>
    </row>
    <row r="15">
      <c r="C15" s="54">
        <f t="shared" si="1"/>
        <v>-0.03440341163</v>
      </c>
      <c r="D15" s="45"/>
      <c r="E15" s="36">
        <v>40061.0</v>
      </c>
      <c r="F15" t="str">
        <f t="shared" si="2"/>
        <v>2009-09</v>
      </c>
      <c r="G15" t="str">
        <f>IFERROR(__xludf.DUMMYFUNCTION("""COMPUTED_VALUE"""),"2010-07")</f>
        <v>2010-07</v>
      </c>
      <c r="H15" s="52">
        <f>IFERROR(__xludf.DUMMYFUNCTION("""COMPUTED_VALUE"""),3.0)</f>
        <v>3</v>
      </c>
      <c r="I15" s="56">
        <f t="shared" si="3"/>
        <v>-0.03449887206</v>
      </c>
      <c r="J15" s="45">
        <v>4.0</v>
      </c>
      <c r="K15" t="str">
        <f>IFERROR(__xludf.DUMMYFUNCTION("""COMPUTED_VALUE"""),"2010-07")</f>
        <v>2010-07</v>
      </c>
      <c r="L15">
        <f>IFERROR(__xludf.DUMMYFUNCTION("""COMPUTED_VALUE"""),149.0)</f>
        <v>149</v>
      </c>
      <c r="S15" t="s">
        <v>60</v>
      </c>
      <c r="T15" s="52">
        <v>3.0</v>
      </c>
      <c r="U15" s="57">
        <f t="shared" si="4"/>
        <v>0.04520226513</v>
      </c>
    </row>
    <row r="16">
      <c r="C16" s="54">
        <f t="shared" si="1"/>
        <v>-0.03449887206</v>
      </c>
      <c r="D16" s="45"/>
      <c r="E16" s="36">
        <v>40067.0</v>
      </c>
      <c r="F16" t="str">
        <f t="shared" si="2"/>
        <v>2009-09</v>
      </c>
      <c r="G16" t="str">
        <f>IFERROR(__xludf.DUMMYFUNCTION("""COMPUTED_VALUE"""),"2010-08")</f>
        <v>2010-08</v>
      </c>
      <c r="H16" s="52">
        <f>IFERROR(__xludf.DUMMYFUNCTION("""COMPUTED_VALUE"""),3.0)</f>
        <v>3</v>
      </c>
      <c r="I16" s="56">
        <f t="shared" si="3"/>
        <v>0.01070339308</v>
      </c>
      <c r="J16" s="45">
        <v>27.0</v>
      </c>
      <c r="K16" t="str">
        <f>IFERROR(__xludf.DUMMYFUNCTION("""COMPUTED_VALUE"""),"2010-08")</f>
        <v>2010-08</v>
      </c>
      <c r="L16">
        <f>IFERROR(__xludf.DUMMYFUNCTION("""COMPUTED_VALUE"""),115.0)</f>
        <v>115</v>
      </c>
      <c r="S16" t="s">
        <v>61</v>
      </c>
      <c r="T16" s="52">
        <v>3.0</v>
      </c>
      <c r="U16" s="57">
        <f t="shared" si="4"/>
        <v>-0.03193114803</v>
      </c>
    </row>
    <row r="17">
      <c r="C17" s="54">
        <f t="shared" si="1"/>
        <v>0.01070339308</v>
      </c>
      <c r="D17" s="45"/>
      <c r="E17" s="36">
        <v>40074.0</v>
      </c>
      <c r="F17" t="str">
        <f t="shared" si="2"/>
        <v>2009-09</v>
      </c>
      <c r="G17" t="str">
        <f>IFERROR(__xludf.DUMMYFUNCTION("""COMPUTED_VALUE"""),"2010-09")</f>
        <v>2010-09</v>
      </c>
      <c r="H17" s="52">
        <f>IFERROR(__xludf.DUMMYFUNCTION("""COMPUTED_VALUE"""),2.0)</f>
        <v>2</v>
      </c>
      <c r="I17" s="56">
        <f t="shared" si="3"/>
        <v>-0.02122775495</v>
      </c>
      <c r="J17" s="45">
        <v>23.0</v>
      </c>
      <c r="K17" t="str">
        <f>IFERROR(__xludf.DUMMYFUNCTION("""COMPUTED_VALUE"""),"2010-09")</f>
        <v>2010-09</v>
      </c>
      <c r="L17">
        <f>IFERROR(__xludf.DUMMYFUNCTION("""COMPUTED_VALUE"""),2.0)</f>
        <v>2</v>
      </c>
      <c r="S17" t="s">
        <v>62</v>
      </c>
      <c r="T17" s="52">
        <v>2.0</v>
      </c>
      <c r="U17" s="57">
        <f t="shared" si="4"/>
        <v>0.09340921603</v>
      </c>
    </row>
    <row r="18">
      <c r="C18" s="54">
        <f t="shared" si="1"/>
        <v>-0.02122775495</v>
      </c>
      <c r="D18" s="45"/>
      <c r="E18" s="36">
        <v>40080.0</v>
      </c>
      <c r="F18" t="str">
        <f t="shared" si="2"/>
        <v>2009-09</v>
      </c>
      <c r="G18" t="str">
        <f>IFERROR(__xludf.DUMMYFUNCTION("""COMPUTED_VALUE"""),"2010-10")</f>
        <v>2010-10</v>
      </c>
      <c r="H18" s="52">
        <f>IFERROR(__xludf.DUMMYFUNCTION("""COMPUTED_VALUE"""),3.0)</f>
        <v>3</v>
      </c>
      <c r="I18" s="56">
        <f t="shared" si="3"/>
        <v>0.07218146108</v>
      </c>
      <c r="J18" s="45">
        <v>26.0</v>
      </c>
      <c r="K18" t="str">
        <f>IFERROR(__xludf.DUMMYFUNCTION("""COMPUTED_VALUE"""),"2010-10")</f>
        <v>2010-10</v>
      </c>
      <c r="L18">
        <f>IFERROR(__xludf.DUMMYFUNCTION("""COMPUTED_VALUE"""),288.0)</f>
        <v>288</v>
      </c>
      <c r="S18" t="s">
        <v>63</v>
      </c>
      <c r="T18" s="52">
        <v>3.0</v>
      </c>
      <c r="U18" s="57">
        <f t="shared" si="4"/>
        <v>-0.07230394301</v>
      </c>
    </row>
    <row r="19">
      <c r="C19" s="54">
        <f t="shared" si="1"/>
        <v>0.07218146108</v>
      </c>
      <c r="D19" s="45"/>
      <c r="E19" s="36">
        <v>40086.0</v>
      </c>
      <c r="F19" t="str">
        <f t="shared" si="2"/>
        <v>2009-09</v>
      </c>
      <c r="G19" t="str">
        <f>IFERROR(__xludf.DUMMYFUNCTION("""COMPUTED_VALUE"""),"2010-11")</f>
        <v>2010-11</v>
      </c>
      <c r="H19" s="52">
        <f>IFERROR(__xludf.DUMMYFUNCTION("""COMPUTED_VALUE"""),2.0)</f>
        <v>2</v>
      </c>
      <c r="I19" s="56">
        <f t="shared" si="3"/>
        <v>-0.0001224819337</v>
      </c>
      <c r="J19" s="45">
        <v>32.0</v>
      </c>
      <c r="K19" t="str">
        <f>IFERROR(__xludf.DUMMYFUNCTION("""COMPUTED_VALUE"""),"2010-11")</f>
        <v>2010-11</v>
      </c>
      <c r="L19">
        <f>IFERROR(__xludf.DUMMYFUNCTION("""COMPUTED_VALUE"""),124.0)</f>
        <v>124</v>
      </c>
      <c r="S19" t="s">
        <v>64</v>
      </c>
      <c r="T19" s="52">
        <v>2.0</v>
      </c>
      <c r="U19" s="57">
        <f t="shared" si="4"/>
        <v>-0.03198814267</v>
      </c>
    </row>
    <row r="20">
      <c r="C20" s="54">
        <f t="shared" si="1"/>
        <v>-0.0001224819337</v>
      </c>
      <c r="D20" s="45"/>
      <c r="E20" s="36">
        <v>40095.0</v>
      </c>
      <c r="F20" t="str">
        <f t="shared" si="2"/>
        <v>2009-10</v>
      </c>
      <c r="G20" t="str">
        <f>IFERROR(__xludf.DUMMYFUNCTION("""COMPUTED_VALUE"""),"2010-12")</f>
        <v>2010-12</v>
      </c>
      <c r="H20" s="52">
        <f>IFERROR(__xludf.DUMMYFUNCTION("""COMPUTED_VALUE"""),2.0)</f>
        <v>2</v>
      </c>
      <c r="I20" s="56">
        <f t="shared" si="3"/>
        <v>-0.0321106246</v>
      </c>
      <c r="J20" s="45">
        <v>56.0</v>
      </c>
      <c r="K20" t="str">
        <f>IFERROR(__xludf.DUMMYFUNCTION("""COMPUTED_VALUE"""),"2010-12")</f>
        <v>2010-12</v>
      </c>
      <c r="L20">
        <f>IFERROR(__xludf.DUMMYFUNCTION("""COMPUTED_VALUE"""),251.0)</f>
        <v>251</v>
      </c>
      <c r="S20" t="s">
        <v>65</v>
      </c>
      <c r="T20" s="52">
        <v>2.0</v>
      </c>
      <c r="U20" s="57">
        <f t="shared" si="4"/>
        <v>0.02328045525</v>
      </c>
    </row>
    <row r="21">
      <c r="C21" s="54">
        <f t="shared" si="1"/>
        <v>-0.0321106246</v>
      </c>
      <c r="D21" s="45"/>
      <c r="E21" s="36">
        <v>40114.0</v>
      </c>
      <c r="F21" t="str">
        <f t="shared" si="2"/>
        <v>2009-10</v>
      </c>
      <c r="G21" t="str">
        <f>IFERROR(__xludf.DUMMYFUNCTION("""COMPUTED_VALUE"""),"2011-01")</f>
        <v>2011-01</v>
      </c>
      <c r="H21" s="52">
        <f>IFERROR(__xludf.DUMMYFUNCTION("""COMPUTED_VALUE"""),5.0)</f>
        <v>5</v>
      </c>
      <c r="I21" s="56">
        <f t="shared" si="3"/>
        <v>-0.008830169354</v>
      </c>
      <c r="J21" s="45">
        <v>36.0</v>
      </c>
      <c r="K21" t="str">
        <f>IFERROR(__xludf.DUMMYFUNCTION("""COMPUTED_VALUE"""),"2011-01")</f>
        <v>2011-01</v>
      </c>
      <c r="L21">
        <f>IFERROR(__xludf.DUMMYFUNCTION("""COMPUTED_VALUE"""),353.0)</f>
        <v>353</v>
      </c>
      <c r="S21" t="s">
        <v>66</v>
      </c>
      <c r="T21" s="52">
        <v>5.0</v>
      </c>
      <c r="U21" s="57">
        <f t="shared" si="4"/>
        <v>-0.02030978781</v>
      </c>
    </row>
    <row r="22">
      <c r="C22" s="54">
        <f t="shared" si="1"/>
        <v>-0.008830169354</v>
      </c>
      <c r="D22" s="45"/>
      <c r="E22" s="36">
        <v>40120.0</v>
      </c>
      <c r="F22" t="str">
        <f t="shared" si="2"/>
        <v>2009-11</v>
      </c>
      <c r="G22" t="str">
        <f>IFERROR(__xludf.DUMMYFUNCTION("""COMPUTED_VALUE"""),"2011-02")</f>
        <v>2011-02</v>
      </c>
      <c r="H22" s="52">
        <f>IFERROR(__xludf.DUMMYFUNCTION("""COMPUTED_VALUE"""),3.0)</f>
        <v>3</v>
      </c>
      <c r="I22" s="56">
        <f t="shared" si="3"/>
        <v>-0.02913995716</v>
      </c>
      <c r="J22" s="45">
        <v>28.0</v>
      </c>
      <c r="K22" t="str">
        <f>IFERROR(__xludf.DUMMYFUNCTION("""COMPUTED_VALUE"""),"2011-02")</f>
        <v>2011-02</v>
      </c>
      <c r="L22">
        <f>IFERROR(__xludf.DUMMYFUNCTION("""COMPUTED_VALUE"""),129.0)</f>
        <v>129</v>
      </c>
      <c r="S22" t="s">
        <v>67</v>
      </c>
      <c r="T22" s="52">
        <v>3.0</v>
      </c>
      <c r="U22" s="57">
        <f t="shared" si="4"/>
        <v>0.03015014328</v>
      </c>
    </row>
    <row r="23">
      <c r="C23" s="54">
        <f t="shared" si="1"/>
        <v>-0.02913995716</v>
      </c>
      <c r="D23" s="45"/>
      <c r="E23" s="36">
        <v>40124.0</v>
      </c>
      <c r="F23" t="str">
        <f t="shared" si="2"/>
        <v>2009-11</v>
      </c>
      <c r="G23" t="str">
        <f>IFERROR(__xludf.DUMMYFUNCTION("""COMPUTED_VALUE"""),"2011-03")</f>
        <v>2011-03</v>
      </c>
      <c r="H23" s="52">
        <f>IFERROR(__xludf.DUMMYFUNCTION("""COMPUTED_VALUE"""),3.0)</f>
        <v>3</v>
      </c>
      <c r="I23" s="56">
        <f t="shared" si="3"/>
        <v>0.001010186116</v>
      </c>
      <c r="J23" s="45">
        <v>18.0</v>
      </c>
      <c r="K23" t="str">
        <f>IFERROR(__xludf.DUMMYFUNCTION("""COMPUTED_VALUE"""),"2011-03")</f>
        <v>2011-03</v>
      </c>
      <c r="L23">
        <f>IFERROR(__xludf.DUMMYFUNCTION("""COMPUTED_VALUE"""),104.0)</f>
        <v>104</v>
      </c>
      <c r="S23" t="s">
        <v>68</v>
      </c>
      <c r="T23" s="52">
        <v>3.0</v>
      </c>
      <c r="U23" s="57">
        <f t="shared" si="4"/>
        <v>0.01859399812</v>
      </c>
    </row>
    <row r="24">
      <c r="C24" s="54">
        <f t="shared" si="1"/>
        <v>0.001010186116</v>
      </c>
      <c r="D24" s="45"/>
      <c r="E24" s="36">
        <v>40134.0</v>
      </c>
      <c r="F24" t="str">
        <f t="shared" si="2"/>
        <v>2009-11</v>
      </c>
      <c r="G24" t="str">
        <f>IFERROR(__xludf.DUMMYFUNCTION("""COMPUTED_VALUE"""),"2011-04")</f>
        <v>2011-04</v>
      </c>
      <c r="H24" s="52">
        <f>IFERROR(__xludf.DUMMYFUNCTION("""COMPUTED_VALUE"""),3.0)</f>
        <v>3</v>
      </c>
      <c r="I24" s="56">
        <f t="shared" si="3"/>
        <v>0.01960418423</v>
      </c>
      <c r="J24" s="45">
        <v>17.0</v>
      </c>
      <c r="K24" t="str">
        <f>IFERROR(__xludf.DUMMYFUNCTION("""COMPUTED_VALUE"""),"2011-04")</f>
        <v>2011-04</v>
      </c>
      <c r="L24">
        <f>IFERROR(__xludf.DUMMYFUNCTION("""COMPUTED_VALUE"""),67.0)</f>
        <v>67</v>
      </c>
      <c r="S24" t="s">
        <v>69</v>
      </c>
      <c r="T24" s="52">
        <v>3.0</v>
      </c>
      <c r="U24" s="57">
        <f t="shared" si="4"/>
        <v>-0.05976684776</v>
      </c>
    </row>
    <row r="25">
      <c r="C25" s="54">
        <f t="shared" si="1"/>
        <v>0.01960418423</v>
      </c>
      <c r="D25" s="45"/>
      <c r="E25" s="36">
        <v>40145.0</v>
      </c>
      <c r="F25" t="str">
        <f t="shared" si="2"/>
        <v>2009-11</v>
      </c>
      <c r="G25" t="str">
        <f>IFERROR(__xludf.DUMMYFUNCTION("""COMPUTED_VALUE"""),"2011-05")</f>
        <v>2011-05</v>
      </c>
      <c r="H25" s="52">
        <f>IFERROR(__xludf.DUMMYFUNCTION("""COMPUTED_VALUE"""),1.0)</f>
        <v>1</v>
      </c>
      <c r="I25" s="56">
        <f t="shared" si="3"/>
        <v>-0.04016266353</v>
      </c>
      <c r="J25" s="45">
        <v>22.0</v>
      </c>
      <c r="K25" t="str">
        <f>IFERROR(__xludf.DUMMYFUNCTION("""COMPUTED_VALUE"""),"2011-05")</f>
        <v>2011-05</v>
      </c>
      <c r="L25">
        <f>IFERROR(__xludf.DUMMYFUNCTION("""COMPUTED_VALUE"""),49.0)</f>
        <v>49</v>
      </c>
      <c r="S25" t="s">
        <v>70</v>
      </c>
      <c r="T25" s="52">
        <v>1.0</v>
      </c>
      <c r="U25" s="57">
        <f t="shared" si="4"/>
        <v>0.05094744285</v>
      </c>
    </row>
    <row r="26">
      <c r="C26" s="54">
        <f t="shared" si="1"/>
        <v>-0.04016266353</v>
      </c>
      <c r="D26" s="45"/>
      <c r="E26" s="36">
        <v>40145.0</v>
      </c>
      <c r="F26" t="str">
        <f t="shared" si="2"/>
        <v>2009-11</v>
      </c>
      <c r="G26" t="str">
        <f>IFERROR(__xludf.DUMMYFUNCTION("""COMPUTED_VALUE"""),"2011-06")</f>
        <v>2011-06</v>
      </c>
      <c r="H26" s="52">
        <f>IFERROR(__xludf.DUMMYFUNCTION("""COMPUTED_VALUE"""),1.0)</f>
        <v>1</v>
      </c>
      <c r="I26" s="56">
        <f t="shared" si="3"/>
        <v>0.01078477932</v>
      </c>
      <c r="J26" s="45">
        <v>4.0</v>
      </c>
      <c r="K26" t="str">
        <f>IFERROR(__xludf.DUMMYFUNCTION("""COMPUTED_VALUE"""),"2011-06")</f>
        <v>2011-06</v>
      </c>
      <c r="L26">
        <f>IFERROR(__xludf.DUMMYFUNCTION("""COMPUTED_VALUE"""),23.0)</f>
        <v>23</v>
      </c>
      <c r="S26" t="s">
        <v>71</v>
      </c>
      <c r="T26" s="52">
        <v>1.0</v>
      </c>
      <c r="U26" s="57">
        <f t="shared" si="4"/>
        <v>-0.05093262476</v>
      </c>
    </row>
    <row r="27">
      <c r="C27" s="54">
        <f t="shared" si="1"/>
        <v>0.01078477932</v>
      </c>
      <c r="D27" s="45"/>
      <c r="E27" s="36">
        <v>40153.0</v>
      </c>
      <c r="F27" t="str">
        <f t="shared" si="2"/>
        <v>2009-12</v>
      </c>
      <c r="G27" t="str">
        <f>IFERROR(__xludf.DUMMYFUNCTION("""COMPUTED_VALUE"""),"2011-07")</f>
        <v>2011-07</v>
      </c>
      <c r="H27" s="52">
        <f>IFERROR(__xludf.DUMMYFUNCTION("""COMPUTED_VALUE"""),4.0)</f>
        <v>4</v>
      </c>
      <c r="I27" s="56">
        <f t="shared" si="3"/>
        <v>-0.04014784544</v>
      </c>
      <c r="J27" s="45">
        <v>16.0</v>
      </c>
      <c r="K27" t="str">
        <f>IFERROR(__xludf.DUMMYFUNCTION("""COMPUTED_VALUE"""),"2011-07")</f>
        <v>2011-07</v>
      </c>
      <c r="L27">
        <f>IFERROR(__xludf.DUMMYFUNCTION("""COMPUTED_VALUE"""),410.0)</f>
        <v>410</v>
      </c>
      <c r="S27" t="s">
        <v>72</v>
      </c>
      <c r="T27" s="52">
        <v>4.0</v>
      </c>
      <c r="U27" s="57">
        <f t="shared" si="4"/>
        <v>0.02682925071</v>
      </c>
    </row>
    <row r="28">
      <c r="C28" s="54">
        <f t="shared" si="1"/>
        <v>-0.04014784544</v>
      </c>
      <c r="D28" s="45"/>
      <c r="E28" s="36">
        <v>40166.0</v>
      </c>
      <c r="F28" t="str">
        <f t="shared" si="2"/>
        <v>2009-12</v>
      </c>
      <c r="G28" t="str">
        <f>IFERROR(__xludf.DUMMYFUNCTION("""COMPUTED_VALUE"""),"2011-08")</f>
        <v>2011-08</v>
      </c>
      <c r="H28" s="52">
        <f>IFERROR(__xludf.DUMMYFUNCTION("""COMPUTED_VALUE"""),5.0)</f>
        <v>5</v>
      </c>
      <c r="I28" s="56">
        <f t="shared" si="3"/>
        <v>-0.01331859473</v>
      </c>
      <c r="J28" s="45">
        <v>40.0</v>
      </c>
      <c r="K28" t="str">
        <f>IFERROR(__xludf.DUMMYFUNCTION("""COMPUTED_VALUE"""),"2011-08")</f>
        <v>2011-08</v>
      </c>
      <c r="L28">
        <f>IFERROR(__xludf.DUMMYFUNCTION("""COMPUTED_VALUE"""),360.0)</f>
        <v>360</v>
      </c>
      <c r="S28" t="s">
        <v>73</v>
      </c>
      <c r="T28" s="52">
        <v>5.0</v>
      </c>
      <c r="U28" s="57">
        <f t="shared" si="4"/>
        <v>-0.05830982122</v>
      </c>
    </row>
    <row r="29">
      <c r="C29" s="54">
        <f t="shared" si="1"/>
        <v>-0.01331859473</v>
      </c>
      <c r="D29" s="45"/>
      <c r="E29" s="36">
        <v>40169.0</v>
      </c>
      <c r="F29" t="str">
        <f t="shared" si="2"/>
        <v>2009-12</v>
      </c>
      <c r="G29" t="str">
        <f>IFERROR(__xludf.DUMMYFUNCTION("""COMPUTED_VALUE"""),"2011-09")</f>
        <v>2011-09</v>
      </c>
      <c r="H29" s="52">
        <f>IFERROR(__xludf.DUMMYFUNCTION("""COMPUTED_VALUE"""),4.0)</f>
        <v>4</v>
      </c>
      <c r="I29" s="56">
        <f t="shared" si="3"/>
        <v>-0.07162841595</v>
      </c>
      <c r="J29" s="45">
        <v>5.0</v>
      </c>
      <c r="K29" t="str">
        <f>IFERROR(__xludf.DUMMYFUNCTION("""COMPUTED_VALUE"""),"2011-09")</f>
        <v>2011-09</v>
      </c>
      <c r="L29">
        <f>IFERROR(__xludf.DUMMYFUNCTION("""COMPUTED_VALUE"""),306.0)</f>
        <v>306</v>
      </c>
      <c r="S29" t="s">
        <v>74</v>
      </c>
      <c r="T29" s="52">
        <v>4.0</v>
      </c>
      <c r="U29" s="57">
        <f t="shared" si="4"/>
        <v>0.07410253756</v>
      </c>
    </row>
    <row r="30">
      <c r="C30" s="54">
        <f t="shared" si="1"/>
        <v>-0.07162841595</v>
      </c>
      <c r="D30" s="45"/>
      <c r="E30" s="36">
        <v>40178.0</v>
      </c>
      <c r="F30" t="str">
        <f t="shared" si="2"/>
        <v>2009-12</v>
      </c>
      <c r="G30" t="str">
        <f>IFERROR(__xludf.DUMMYFUNCTION("""COMPUTED_VALUE"""),"2011-10")</f>
        <v>2011-10</v>
      </c>
      <c r="H30" s="52">
        <f>IFERROR(__xludf.DUMMYFUNCTION("""COMPUTED_VALUE"""),2.0)</f>
        <v>2</v>
      </c>
      <c r="I30" s="56">
        <f t="shared" si="3"/>
        <v>0.002474121617</v>
      </c>
      <c r="J30" s="45">
        <v>12.0</v>
      </c>
      <c r="K30" t="str">
        <f>IFERROR(__xludf.DUMMYFUNCTION("""COMPUTED_VALUE"""),"2011-10")</f>
        <v>2011-10</v>
      </c>
      <c r="L30">
        <f>IFERROR(__xludf.DUMMYFUNCTION("""COMPUTED_VALUE"""),196.0)</f>
        <v>196</v>
      </c>
      <c r="S30" t="s">
        <v>75</v>
      </c>
      <c r="T30" s="52">
        <v>2.0</v>
      </c>
      <c r="U30" s="57">
        <f t="shared" si="4"/>
        <v>-0.001409465514</v>
      </c>
    </row>
    <row r="31">
      <c r="C31" s="54">
        <f t="shared" si="1"/>
        <v>0.002474121617</v>
      </c>
      <c r="D31" s="45"/>
      <c r="E31" s="36">
        <v>40187.0</v>
      </c>
      <c r="F31" t="str">
        <f t="shared" si="2"/>
        <v>2010-01</v>
      </c>
      <c r="G31" t="str">
        <f>IFERROR(__xludf.DUMMYFUNCTION("""COMPUTED_VALUE"""),"2011-11")</f>
        <v>2011-11</v>
      </c>
      <c r="H31" s="52">
        <f>IFERROR(__xludf.DUMMYFUNCTION("""COMPUTED_VALUE"""),4.0)</f>
        <v>4</v>
      </c>
      <c r="I31" s="56">
        <f t="shared" si="3"/>
        <v>0.001064656103</v>
      </c>
      <c r="J31" s="45">
        <v>32.0</v>
      </c>
      <c r="K31" t="str">
        <f>IFERROR(__xludf.DUMMYFUNCTION("""COMPUTED_VALUE"""),"2011-11")</f>
        <v>2011-11</v>
      </c>
      <c r="L31">
        <f>IFERROR(__xludf.DUMMYFUNCTION("""COMPUTED_VALUE"""),239.0)</f>
        <v>239</v>
      </c>
      <c r="S31" t="s">
        <v>76</v>
      </c>
      <c r="T31" s="52">
        <v>4.0</v>
      </c>
      <c r="U31" s="57">
        <f t="shared" si="4"/>
        <v>-0.020144063</v>
      </c>
    </row>
    <row r="32">
      <c r="C32" s="54">
        <f t="shared" si="1"/>
        <v>0.001064656103</v>
      </c>
      <c r="D32" s="45"/>
      <c r="E32" s="36">
        <v>40198.0</v>
      </c>
      <c r="F32" t="str">
        <f t="shared" si="2"/>
        <v>2010-01</v>
      </c>
      <c r="G32" t="str">
        <f>IFERROR(__xludf.DUMMYFUNCTION("""COMPUTED_VALUE"""),"2011-12")</f>
        <v>2011-12</v>
      </c>
      <c r="H32" s="52">
        <f>IFERROR(__xludf.DUMMYFUNCTION("""COMPUTED_VALUE"""),3.0)</f>
        <v>3</v>
      </c>
      <c r="I32" s="56">
        <f t="shared" si="3"/>
        <v>-0.0190794069</v>
      </c>
      <c r="J32" s="45">
        <v>26.0</v>
      </c>
      <c r="K32" t="str">
        <f>IFERROR(__xludf.DUMMYFUNCTION("""COMPUTED_VALUE"""),"2011-12")</f>
        <v>2011-12</v>
      </c>
      <c r="L32">
        <f>IFERROR(__xludf.DUMMYFUNCTION("""COMPUTED_VALUE"""),91.0)</f>
        <v>91</v>
      </c>
      <c r="S32" t="s">
        <v>77</v>
      </c>
      <c r="T32" s="52">
        <v>3.0</v>
      </c>
      <c r="U32" s="57">
        <f t="shared" si="4"/>
        <v>0.01345555191</v>
      </c>
    </row>
    <row r="33">
      <c r="C33" s="54">
        <f t="shared" si="1"/>
        <v>-0.0190794069</v>
      </c>
      <c r="D33" s="45"/>
      <c r="E33" s="36">
        <v>40212.0</v>
      </c>
      <c r="F33" t="str">
        <f t="shared" si="2"/>
        <v>2010-02</v>
      </c>
      <c r="G33" t="str">
        <f>IFERROR(__xludf.DUMMYFUNCTION("""COMPUTED_VALUE"""),"2012-01")</f>
        <v>2012-01</v>
      </c>
      <c r="H33" s="52">
        <f>IFERROR(__xludf.DUMMYFUNCTION("""COMPUTED_VALUE"""),5.0)</f>
        <v>5</v>
      </c>
      <c r="I33" s="56">
        <f t="shared" si="3"/>
        <v>-0.00562385499</v>
      </c>
      <c r="J33" s="45">
        <v>28.0</v>
      </c>
      <c r="K33" t="str">
        <f>IFERROR(__xludf.DUMMYFUNCTION("""COMPUTED_VALUE"""),"2012-01")</f>
        <v>2012-01</v>
      </c>
      <c r="L33">
        <f>IFERROR(__xludf.DUMMYFUNCTION("""COMPUTED_VALUE"""),76.0)</f>
        <v>76</v>
      </c>
      <c r="S33" t="s">
        <v>78</v>
      </c>
      <c r="T33" s="52">
        <v>5.0</v>
      </c>
      <c r="U33" s="57">
        <f t="shared" si="4"/>
        <v>0.01483809893</v>
      </c>
    </row>
    <row r="34">
      <c r="C34" s="54">
        <f t="shared" si="1"/>
        <v>-0.00562385499</v>
      </c>
      <c r="D34" s="45"/>
      <c r="E34" s="36">
        <v>40218.0</v>
      </c>
      <c r="F34" t="str">
        <f t="shared" si="2"/>
        <v>2010-02</v>
      </c>
      <c r="G34" t="str">
        <f>IFERROR(__xludf.DUMMYFUNCTION("""COMPUTED_VALUE"""),"2012-02")</f>
        <v>2012-02</v>
      </c>
      <c r="H34" s="52">
        <f>IFERROR(__xludf.DUMMYFUNCTION("""COMPUTED_VALUE"""),6.0)</f>
        <v>6</v>
      </c>
      <c r="I34" s="56">
        <f t="shared" si="3"/>
        <v>0.009214243936</v>
      </c>
      <c r="J34" s="45">
        <v>16.0</v>
      </c>
      <c r="K34" t="str">
        <f>IFERROR(__xludf.DUMMYFUNCTION("""COMPUTED_VALUE"""),"2012-02")</f>
        <v>2012-02</v>
      </c>
      <c r="L34">
        <f>IFERROR(__xludf.DUMMYFUNCTION("""COMPUTED_VALUE"""),284.0)</f>
        <v>284</v>
      </c>
      <c r="S34" t="s">
        <v>79</v>
      </c>
      <c r="T34" s="52">
        <v>6.0</v>
      </c>
      <c r="U34" s="57">
        <f t="shared" si="4"/>
        <v>0.02072950377</v>
      </c>
    </row>
    <row r="35">
      <c r="C35" s="54">
        <f t="shared" si="1"/>
        <v>0.009214243936</v>
      </c>
      <c r="D35" s="45"/>
      <c r="E35" s="36">
        <v>40226.0</v>
      </c>
      <c r="F35" t="str">
        <f t="shared" si="2"/>
        <v>2010-02</v>
      </c>
      <c r="G35" t="str">
        <f>IFERROR(__xludf.DUMMYFUNCTION("""COMPUTED_VALUE"""),"2012-03")</f>
        <v>2012-03</v>
      </c>
      <c r="H35" s="52">
        <f>IFERROR(__xludf.DUMMYFUNCTION("""COMPUTED_VALUE"""),5.0)</f>
        <v>5</v>
      </c>
      <c r="I35" s="56">
        <f t="shared" si="3"/>
        <v>0.02994374771</v>
      </c>
      <c r="J35" s="45">
        <v>40.0</v>
      </c>
      <c r="K35" t="str">
        <f>IFERROR(__xludf.DUMMYFUNCTION("""COMPUTED_VALUE"""),"2012-03")</f>
        <v>2012-03</v>
      </c>
      <c r="L35">
        <f>IFERROR(__xludf.DUMMYFUNCTION("""COMPUTED_VALUE"""),476.0)</f>
        <v>476</v>
      </c>
      <c r="S35" t="s">
        <v>80</v>
      </c>
      <c r="T35" s="52">
        <v>5.0</v>
      </c>
      <c r="U35" s="57">
        <f t="shared" si="4"/>
        <v>-0.01475167742</v>
      </c>
    </row>
    <row r="36">
      <c r="C36" s="54">
        <f t="shared" si="1"/>
        <v>0.02994374771</v>
      </c>
      <c r="D36" s="45"/>
      <c r="E36" s="36">
        <v>40231.0</v>
      </c>
      <c r="F36" t="str">
        <f t="shared" si="2"/>
        <v>2010-02</v>
      </c>
      <c r="G36" t="str">
        <f>IFERROR(__xludf.DUMMYFUNCTION("""COMPUTED_VALUE"""),"2012-04")</f>
        <v>2012-04</v>
      </c>
      <c r="H36" s="52">
        <f>IFERROR(__xludf.DUMMYFUNCTION("""COMPUTED_VALUE"""),3.0)</f>
        <v>3</v>
      </c>
      <c r="I36" s="56">
        <f t="shared" si="3"/>
        <v>0.01519207028</v>
      </c>
      <c r="J36" s="45">
        <v>43.0</v>
      </c>
      <c r="K36" t="str">
        <f>IFERROR(__xludf.DUMMYFUNCTION("""COMPUTED_VALUE"""),"2012-04")</f>
        <v>2012-04</v>
      </c>
      <c r="L36">
        <f>IFERROR(__xludf.DUMMYFUNCTION("""COMPUTED_VALUE"""),166.0)</f>
        <v>166</v>
      </c>
      <c r="S36" t="s">
        <v>81</v>
      </c>
      <c r="T36" s="52">
        <v>3.0</v>
      </c>
      <c r="U36" s="57">
        <f t="shared" si="4"/>
        <v>-0.01864644485</v>
      </c>
    </row>
    <row r="37">
      <c r="C37" s="54">
        <f t="shared" si="1"/>
        <v>0.01519207028</v>
      </c>
      <c r="D37" s="45"/>
      <c r="E37" s="36">
        <v>40243.0</v>
      </c>
      <c r="F37" t="str">
        <f t="shared" si="2"/>
        <v>2010-03</v>
      </c>
      <c r="G37" t="str">
        <f>IFERROR(__xludf.DUMMYFUNCTION("""COMPUTED_VALUE"""),"2012-05")</f>
        <v>2012-05</v>
      </c>
      <c r="H37" s="52">
        <f>IFERROR(__xludf.DUMMYFUNCTION("""COMPUTED_VALUE"""),3.0)</f>
        <v>3</v>
      </c>
      <c r="I37" s="56">
        <f t="shared" si="3"/>
        <v>-0.003454374566</v>
      </c>
      <c r="J37" s="45">
        <v>67.0</v>
      </c>
      <c r="K37" t="str">
        <f>IFERROR(__xludf.DUMMYFUNCTION("""COMPUTED_VALUE"""),"2012-05")</f>
        <v>2012-05</v>
      </c>
      <c r="L37">
        <f>IFERROR(__xludf.DUMMYFUNCTION("""COMPUTED_VALUE"""),342.0)</f>
        <v>342</v>
      </c>
      <c r="S37" t="s">
        <v>82</v>
      </c>
      <c r="T37" s="52">
        <v>3.0</v>
      </c>
      <c r="U37" s="57">
        <f t="shared" si="4"/>
        <v>-0.0842192668</v>
      </c>
    </row>
    <row r="38">
      <c r="C38" s="54">
        <f t="shared" si="1"/>
        <v>-0.003454374566</v>
      </c>
      <c r="D38" s="45"/>
      <c r="E38" s="36">
        <v>40250.0</v>
      </c>
      <c r="F38" t="str">
        <f t="shared" si="2"/>
        <v>2010-03</v>
      </c>
      <c r="G38" t="str">
        <f>IFERROR(__xludf.DUMMYFUNCTION("""COMPUTED_VALUE"""),"2012-06")</f>
        <v>2012-06</v>
      </c>
      <c r="H38" s="52">
        <f>IFERROR(__xludf.DUMMYFUNCTION("""COMPUTED_VALUE"""),7.0)</f>
        <v>7</v>
      </c>
      <c r="I38" s="56">
        <f t="shared" si="3"/>
        <v>-0.08767364136</v>
      </c>
      <c r="J38" s="45">
        <v>43.0</v>
      </c>
      <c r="K38" t="str">
        <f>IFERROR(__xludf.DUMMYFUNCTION("""COMPUTED_VALUE"""),"2012-06")</f>
        <v>2012-06</v>
      </c>
      <c r="L38">
        <f>IFERROR(__xludf.DUMMYFUNCTION("""COMPUTED_VALUE"""),274.0)</f>
        <v>274</v>
      </c>
      <c r="S38" t="s">
        <v>83</v>
      </c>
      <c r="T38" s="52">
        <v>7.0</v>
      </c>
      <c r="U38" s="57">
        <f t="shared" si="4"/>
        <v>0.04953028033</v>
      </c>
    </row>
    <row r="39">
      <c r="C39" s="54">
        <f t="shared" si="1"/>
        <v>-0.08767364136</v>
      </c>
      <c r="D39" s="45"/>
      <c r="E39" s="36">
        <v>40257.0</v>
      </c>
      <c r="F39" t="str">
        <f t="shared" si="2"/>
        <v>2010-03</v>
      </c>
      <c r="G39" t="str">
        <f>IFERROR(__xludf.DUMMYFUNCTION("""COMPUTED_VALUE"""),"2012-07")</f>
        <v>2012-07</v>
      </c>
      <c r="H39" s="52">
        <f>IFERROR(__xludf.DUMMYFUNCTION("""COMPUTED_VALUE"""),5.0)</f>
        <v>5</v>
      </c>
      <c r="I39" s="56">
        <f t="shared" si="3"/>
        <v>-0.03814336104</v>
      </c>
      <c r="J39" s="45">
        <v>32.0</v>
      </c>
      <c r="K39" t="str">
        <f>IFERROR(__xludf.DUMMYFUNCTION("""COMPUTED_VALUE"""),"2012-07")</f>
        <v>2012-07</v>
      </c>
      <c r="L39">
        <f>IFERROR(__xludf.DUMMYFUNCTION("""COMPUTED_VALUE"""),196.0)</f>
        <v>196</v>
      </c>
      <c r="S39" t="s">
        <v>84</v>
      </c>
      <c r="T39" s="52">
        <v>5.0</v>
      </c>
      <c r="U39" s="57">
        <f t="shared" si="4"/>
        <v>0.06266393983</v>
      </c>
    </row>
    <row r="40">
      <c r="C40" s="54">
        <f t="shared" si="1"/>
        <v>-0.03814336104</v>
      </c>
      <c r="D40" s="45"/>
      <c r="E40" s="36">
        <v>40278.0</v>
      </c>
      <c r="F40" t="str">
        <f t="shared" si="2"/>
        <v>2010-04</v>
      </c>
      <c r="G40" t="str">
        <f>IFERROR(__xludf.DUMMYFUNCTION("""COMPUTED_VALUE"""),"2012-08")</f>
        <v>2012-08</v>
      </c>
      <c r="H40" s="52">
        <f>IFERROR(__xludf.DUMMYFUNCTION("""COMPUTED_VALUE"""),6.0)</f>
        <v>6</v>
      </c>
      <c r="I40" s="56">
        <f t="shared" si="3"/>
        <v>0.02452057879</v>
      </c>
      <c r="J40" s="45">
        <v>228.0</v>
      </c>
      <c r="K40" t="str">
        <f>IFERROR(__xludf.DUMMYFUNCTION("""COMPUTED_VALUE"""),"2012-08")</f>
        <v>2012-08</v>
      </c>
      <c r="L40">
        <f>IFERROR(__xludf.DUMMYFUNCTION("""COMPUTED_VALUE"""),347.0)</f>
        <v>347</v>
      </c>
      <c r="S40" t="s">
        <v>85</v>
      </c>
      <c r="T40" s="52">
        <v>6.0</v>
      </c>
      <c r="U40" s="57">
        <f t="shared" si="4"/>
        <v>-0.05130438882</v>
      </c>
    </row>
    <row r="41">
      <c r="C41" s="54">
        <f t="shared" si="1"/>
        <v>0.02452057879</v>
      </c>
      <c r="D41" s="45"/>
      <c r="E41" s="36">
        <v>40283.0</v>
      </c>
      <c r="F41" t="str">
        <f t="shared" si="2"/>
        <v>2010-04</v>
      </c>
      <c r="G41" t="str">
        <f>IFERROR(__xludf.DUMMYFUNCTION("""COMPUTED_VALUE"""),"2012-09")</f>
        <v>2012-09</v>
      </c>
      <c r="H41" s="52">
        <f>IFERROR(__xludf.DUMMYFUNCTION("""COMPUTED_VALUE"""),4.0)</f>
        <v>4</v>
      </c>
      <c r="I41" s="56">
        <f t="shared" si="3"/>
        <v>-0.02678381002</v>
      </c>
      <c r="J41" s="45">
        <v>33.0</v>
      </c>
      <c r="K41" t="str">
        <f>IFERROR(__xludf.DUMMYFUNCTION("""COMPUTED_VALUE"""),"2012-09")</f>
        <v>2012-09</v>
      </c>
      <c r="L41">
        <f>IFERROR(__xludf.DUMMYFUNCTION("""COMPUTED_VALUE"""),186.0)</f>
        <v>186</v>
      </c>
      <c r="S41" t="s">
        <v>86</v>
      </c>
      <c r="T41" s="52">
        <v>4.0</v>
      </c>
      <c r="U41" s="57">
        <f t="shared" si="4"/>
        <v>-0.01069208002</v>
      </c>
    </row>
    <row r="42">
      <c r="C42" s="54">
        <f t="shared" si="1"/>
        <v>-0.02678381002</v>
      </c>
      <c r="D42" s="45"/>
      <c r="E42" s="36">
        <v>40291.0</v>
      </c>
      <c r="F42" t="str">
        <f t="shared" si="2"/>
        <v>2010-04</v>
      </c>
      <c r="G42" t="str">
        <f>IFERROR(__xludf.DUMMYFUNCTION("""COMPUTED_VALUE"""),"2012-10")</f>
        <v>2012-10</v>
      </c>
      <c r="H42" s="52">
        <f>IFERROR(__xludf.DUMMYFUNCTION("""COMPUTED_VALUE"""),4.0)</f>
        <v>4</v>
      </c>
      <c r="I42" s="56">
        <f t="shared" si="3"/>
        <v>-0.03747589004</v>
      </c>
      <c r="J42" s="45">
        <v>45.0</v>
      </c>
      <c r="K42" t="str">
        <f>IFERROR(__xludf.DUMMYFUNCTION("""COMPUTED_VALUE"""),"2012-10")</f>
        <v>2012-10</v>
      </c>
      <c r="L42">
        <f>IFERROR(__xludf.DUMMYFUNCTION("""COMPUTED_VALUE"""),220.0)</f>
        <v>220</v>
      </c>
      <c r="S42" t="s">
        <v>87</v>
      </c>
      <c r="T42" s="52">
        <v>4.0</v>
      </c>
      <c r="U42" s="57">
        <f t="shared" si="4"/>
        <v>0.03125253686</v>
      </c>
    </row>
    <row r="43">
      <c r="C43" s="54">
        <f t="shared" si="1"/>
        <v>-0.03747589004</v>
      </c>
      <c r="D43" s="45"/>
      <c r="E43" s="36">
        <v>40298.0</v>
      </c>
      <c r="F43" t="str">
        <f t="shared" si="2"/>
        <v>2010-04</v>
      </c>
      <c r="G43" t="str">
        <f>IFERROR(__xludf.DUMMYFUNCTION("""COMPUTED_VALUE"""),"2012-11")</f>
        <v>2012-11</v>
      </c>
      <c r="H43" s="52">
        <f>IFERROR(__xludf.DUMMYFUNCTION("""COMPUTED_VALUE"""),1.0)</f>
        <v>1</v>
      </c>
      <c r="I43" s="56">
        <f t="shared" si="3"/>
        <v>-0.006223353184</v>
      </c>
      <c r="J43" s="45">
        <v>37.0</v>
      </c>
      <c r="K43" t="str">
        <f>IFERROR(__xludf.DUMMYFUNCTION("""COMPUTED_VALUE"""),"2012-11")</f>
        <v>2012-11</v>
      </c>
      <c r="L43">
        <f>IFERROR(__xludf.DUMMYFUNCTION("""COMPUTED_VALUE"""),15.0)</f>
        <v>15</v>
      </c>
      <c r="S43" t="s">
        <v>88</v>
      </c>
      <c r="T43" s="52">
        <v>1.0</v>
      </c>
      <c r="U43" s="57">
        <f t="shared" si="4"/>
        <v>-0.002252914884</v>
      </c>
    </row>
    <row r="44">
      <c r="C44" s="54">
        <f t="shared" si="1"/>
        <v>-0.006223353184</v>
      </c>
      <c r="D44" s="45"/>
      <c r="E44" s="36">
        <v>40304.0</v>
      </c>
      <c r="F44" t="str">
        <f t="shared" si="2"/>
        <v>2010-05</v>
      </c>
      <c r="G44" t="str">
        <f>IFERROR(__xludf.DUMMYFUNCTION("""COMPUTED_VALUE"""),"2012-12")</f>
        <v>2012-12</v>
      </c>
      <c r="H44" s="52">
        <f>IFERROR(__xludf.DUMMYFUNCTION("""COMPUTED_VALUE"""),3.0)</f>
        <v>3</v>
      </c>
      <c r="I44" s="56">
        <f t="shared" si="3"/>
        <v>-0.008476268068</v>
      </c>
      <c r="J44" s="45">
        <v>43.0</v>
      </c>
      <c r="K44" t="str">
        <f>IFERROR(__xludf.DUMMYFUNCTION("""COMPUTED_VALUE"""),"2012-12")</f>
        <v>2012-12</v>
      </c>
      <c r="L44">
        <f>IFERROR(__xludf.DUMMYFUNCTION("""COMPUTED_VALUE"""),312.0)</f>
        <v>312</v>
      </c>
      <c r="S44" t="s">
        <v>89</v>
      </c>
      <c r="T44" s="52">
        <v>3.0</v>
      </c>
      <c r="U44" s="57">
        <f t="shared" si="4"/>
        <v>0.0001766601854</v>
      </c>
    </row>
    <row r="45">
      <c r="C45" s="54">
        <f t="shared" si="1"/>
        <v>-0.008476268068</v>
      </c>
      <c r="D45" s="45"/>
      <c r="E45" s="36">
        <v>40311.0</v>
      </c>
      <c r="F45" t="str">
        <f t="shared" si="2"/>
        <v>2010-05</v>
      </c>
      <c r="G45" t="str">
        <f>IFERROR(__xludf.DUMMYFUNCTION("""COMPUTED_VALUE"""),"2013-01")</f>
        <v>2013-01</v>
      </c>
      <c r="H45" s="52">
        <f>IFERROR(__xludf.DUMMYFUNCTION("""COMPUTED_VALUE"""),5.0)</f>
        <v>5</v>
      </c>
      <c r="I45" s="56">
        <f t="shared" si="3"/>
        <v>-0.008299607883</v>
      </c>
      <c r="J45" s="45">
        <v>32.0</v>
      </c>
      <c r="K45" t="str">
        <f>IFERROR(__xludf.DUMMYFUNCTION("""COMPUTED_VALUE"""),"2013-01")</f>
        <v>2013-01</v>
      </c>
      <c r="L45">
        <f>IFERROR(__xludf.DUMMYFUNCTION("""COMPUTED_VALUE"""),222.0)</f>
        <v>222</v>
      </c>
      <c r="S45" t="s">
        <v>90</v>
      </c>
      <c r="T45" s="52">
        <v>5.0</v>
      </c>
      <c r="U45" s="57">
        <f t="shared" si="4"/>
        <v>-0.04455522168</v>
      </c>
    </row>
    <row r="46">
      <c r="C46" s="54">
        <f t="shared" si="1"/>
        <v>-0.008299607883</v>
      </c>
      <c r="D46" s="45"/>
      <c r="E46" s="36">
        <v>40319.0</v>
      </c>
      <c r="F46" t="str">
        <f t="shared" si="2"/>
        <v>2010-05</v>
      </c>
      <c r="G46" t="str">
        <f>IFERROR(__xludf.DUMMYFUNCTION("""COMPUTED_VALUE"""),"2013-02")</f>
        <v>2013-02</v>
      </c>
      <c r="H46" s="52">
        <f>IFERROR(__xludf.DUMMYFUNCTION("""COMPUTED_VALUE"""),5.0)</f>
        <v>5</v>
      </c>
      <c r="I46" s="56">
        <f t="shared" si="3"/>
        <v>-0.05285482956</v>
      </c>
      <c r="J46" s="45">
        <v>39.0</v>
      </c>
      <c r="K46" t="str">
        <f>IFERROR(__xludf.DUMMYFUNCTION("""COMPUTED_VALUE"""),"2013-02")</f>
        <v>2013-02</v>
      </c>
      <c r="L46">
        <f>IFERROR(__xludf.DUMMYFUNCTION("""COMPUTED_VALUE"""),178.0)</f>
        <v>178</v>
      </c>
      <c r="S46" t="s">
        <v>91</v>
      </c>
      <c r="T46" s="52">
        <v>5.0</v>
      </c>
      <c r="U46" s="57">
        <f t="shared" si="4"/>
        <v>0.05557487754</v>
      </c>
    </row>
    <row r="47">
      <c r="C47" s="54">
        <f t="shared" si="1"/>
        <v>-0.05285482956</v>
      </c>
      <c r="D47" s="45"/>
      <c r="E47" s="36">
        <v>40328.0</v>
      </c>
      <c r="F47" t="str">
        <f t="shared" si="2"/>
        <v>2010-05</v>
      </c>
      <c r="G47" t="str">
        <f>IFERROR(__xludf.DUMMYFUNCTION("""COMPUTED_VALUE"""),"2013-03")</f>
        <v>2013-03</v>
      </c>
      <c r="H47" s="52">
        <f>IFERROR(__xludf.DUMMYFUNCTION("""COMPUTED_VALUE"""),7.0)</f>
        <v>7</v>
      </c>
      <c r="I47" s="56">
        <f t="shared" si="3"/>
        <v>0.002720047972</v>
      </c>
      <c r="J47" s="45">
        <v>36.0</v>
      </c>
      <c r="K47" t="str">
        <f>IFERROR(__xludf.DUMMYFUNCTION("""COMPUTED_VALUE"""),"2013-03")</f>
        <v>2013-03</v>
      </c>
      <c r="L47">
        <f>IFERROR(__xludf.DUMMYFUNCTION("""COMPUTED_VALUE"""),473.0)</f>
        <v>473</v>
      </c>
      <c r="S47" t="s">
        <v>92</v>
      </c>
      <c r="T47" s="52">
        <v>7.0</v>
      </c>
      <c r="U47" s="57">
        <f t="shared" si="4"/>
        <v>-0.01356539239</v>
      </c>
    </row>
    <row r="48">
      <c r="C48" s="54">
        <f t="shared" si="1"/>
        <v>0.002720047972</v>
      </c>
      <c r="D48" s="45"/>
      <c r="E48" s="36">
        <v>40340.0</v>
      </c>
      <c r="F48" t="str">
        <f t="shared" si="2"/>
        <v>2010-06</v>
      </c>
      <c r="G48" t="str">
        <f>IFERROR(__xludf.DUMMYFUNCTION("""COMPUTED_VALUE"""),"2013-04")</f>
        <v>2013-04</v>
      </c>
      <c r="H48" s="52">
        <f>IFERROR(__xludf.DUMMYFUNCTION("""COMPUTED_VALUE"""),5.0)</f>
        <v>5</v>
      </c>
      <c r="I48" s="56">
        <f t="shared" si="3"/>
        <v>-0.01084534442</v>
      </c>
      <c r="J48" s="45">
        <v>40.0</v>
      </c>
      <c r="K48" t="str">
        <f>IFERROR(__xludf.DUMMYFUNCTION("""COMPUTED_VALUE"""),"2013-04")</f>
        <v>2013-04</v>
      </c>
      <c r="L48">
        <f>IFERROR(__xludf.DUMMYFUNCTION("""COMPUTED_VALUE"""),219.0)</f>
        <v>219</v>
      </c>
      <c r="S48" t="s">
        <v>93</v>
      </c>
      <c r="T48" s="52">
        <v>5.0</v>
      </c>
      <c r="U48" s="57">
        <f t="shared" si="4"/>
        <v>-0.01652105578</v>
      </c>
    </row>
    <row r="49">
      <c r="C49" s="54">
        <f t="shared" si="1"/>
        <v>-0.01084534442</v>
      </c>
      <c r="D49" s="45"/>
      <c r="E49" s="36">
        <v>40350.0</v>
      </c>
      <c r="F49" t="str">
        <f t="shared" si="2"/>
        <v>2010-06</v>
      </c>
      <c r="G49" t="str">
        <f>IFERROR(__xludf.DUMMYFUNCTION("""COMPUTED_VALUE"""),"2013-05")</f>
        <v>2013-05</v>
      </c>
      <c r="H49" s="52">
        <f>IFERROR(__xludf.DUMMYFUNCTION("""COMPUTED_VALUE"""),5.0)</f>
        <v>5</v>
      </c>
      <c r="I49" s="56">
        <f t="shared" si="3"/>
        <v>-0.02736640021</v>
      </c>
      <c r="J49" s="45">
        <v>48.0</v>
      </c>
      <c r="K49" t="str">
        <f>IFERROR(__xludf.DUMMYFUNCTION("""COMPUTED_VALUE"""),"2013-05")</f>
        <v>2013-05</v>
      </c>
      <c r="L49">
        <f>IFERROR(__xludf.DUMMYFUNCTION("""COMPUTED_VALUE"""),193.0)</f>
        <v>193</v>
      </c>
      <c r="S49" t="s">
        <v>94</v>
      </c>
      <c r="T49" s="52">
        <v>5.0</v>
      </c>
      <c r="U49" s="57">
        <f t="shared" si="4"/>
        <v>-0.009584274337</v>
      </c>
    </row>
    <row r="50">
      <c r="C50" s="54">
        <f t="shared" si="1"/>
        <v>-0.02736640021</v>
      </c>
      <c r="D50" s="45"/>
      <c r="E50" s="36">
        <v>40362.0</v>
      </c>
      <c r="F50" t="str">
        <f t="shared" si="2"/>
        <v>2010-07</v>
      </c>
      <c r="G50" t="str">
        <f>IFERROR(__xludf.DUMMYFUNCTION("""COMPUTED_VALUE"""),"2013-06")</f>
        <v>2013-06</v>
      </c>
      <c r="H50" s="52">
        <f>IFERROR(__xludf.DUMMYFUNCTION("""COMPUTED_VALUE"""),6.0)</f>
        <v>6</v>
      </c>
      <c r="I50" s="56">
        <f t="shared" si="3"/>
        <v>-0.03695067454</v>
      </c>
      <c r="J50" s="45">
        <v>49.0</v>
      </c>
      <c r="K50" t="str">
        <f>IFERROR(__xludf.DUMMYFUNCTION("""COMPUTED_VALUE"""),"2013-06")</f>
        <v>2013-06</v>
      </c>
      <c r="L50">
        <f>IFERROR(__xludf.DUMMYFUNCTION("""COMPUTED_VALUE"""),263.0)</f>
        <v>263</v>
      </c>
      <c r="S50" t="s">
        <v>95</v>
      </c>
      <c r="T50" s="52">
        <v>6.0</v>
      </c>
      <c r="U50" s="57">
        <f t="shared" si="4"/>
        <v>0.008428778594</v>
      </c>
    </row>
    <row r="51">
      <c r="C51" s="54">
        <f t="shared" si="1"/>
        <v>-0.03695067454</v>
      </c>
      <c r="D51" s="45"/>
      <c r="E51" s="36">
        <v>40376.0</v>
      </c>
      <c r="F51" t="str">
        <f t="shared" si="2"/>
        <v>2010-07</v>
      </c>
      <c r="G51" t="str">
        <f>IFERROR(__xludf.DUMMYFUNCTION("""COMPUTED_VALUE"""),"2013-07")</f>
        <v>2013-07</v>
      </c>
      <c r="H51" s="52">
        <f>IFERROR(__xludf.DUMMYFUNCTION("""COMPUTED_VALUE"""),4.0)</f>
        <v>4</v>
      </c>
      <c r="I51" s="56">
        <f t="shared" si="3"/>
        <v>-0.02852189595</v>
      </c>
      <c r="J51" s="45">
        <v>66.0</v>
      </c>
      <c r="K51" t="str">
        <f>IFERROR(__xludf.DUMMYFUNCTION("""COMPUTED_VALUE"""),"2013-07")</f>
        <v>2013-07</v>
      </c>
      <c r="L51">
        <f>IFERROR(__xludf.DUMMYFUNCTION("""COMPUTED_VALUE"""),132.0)</f>
        <v>132</v>
      </c>
      <c r="S51" t="s">
        <v>96</v>
      </c>
      <c r="T51" s="52">
        <v>4.0</v>
      </c>
      <c r="U51" s="57">
        <f t="shared" si="4"/>
        <v>0.03243119652</v>
      </c>
    </row>
    <row r="52">
      <c r="C52" s="54">
        <f t="shared" si="1"/>
        <v>-0.02852189595</v>
      </c>
      <c r="D52" s="45"/>
      <c r="E52" s="36">
        <v>40385.0</v>
      </c>
      <c r="F52" t="str">
        <f t="shared" si="2"/>
        <v>2010-07</v>
      </c>
      <c r="G52" t="str">
        <f>IFERROR(__xludf.DUMMYFUNCTION("""COMPUTED_VALUE"""),"2013-08")</f>
        <v>2013-08</v>
      </c>
      <c r="H52" s="52">
        <f>IFERROR(__xludf.DUMMYFUNCTION("""COMPUTED_VALUE"""),4.0)</f>
        <v>4</v>
      </c>
      <c r="I52" s="56">
        <f t="shared" si="3"/>
        <v>0.003909300567</v>
      </c>
      <c r="J52" s="45">
        <v>34.0</v>
      </c>
      <c r="K52" t="str">
        <f>IFERROR(__xludf.DUMMYFUNCTION("""COMPUTED_VALUE"""),"2013-08")</f>
        <v>2013-08</v>
      </c>
      <c r="L52">
        <f>IFERROR(__xludf.DUMMYFUNCTION("""COMPUTED_VALUE"""),303.0)</f>
        <v>303</v>
      </c>
      <c r="S52" t="s">
        <v>97</v>
      </c>
      <c r="T52" s="52">
        <v>4.0</v>
      </c>
      <c r="U52" s="57">
        <f t="shared" si="4"/>
        <v>-0.006792787666</v>
      </c>
    </row>
    <row r="53">
      <c r="C53" s="54">
        <f t="shared" si="1"/>
        <v>0.003909300567</v>
      </c>
      <c r="D53" s="45"/>
      <c r="E53" s="36">
        <v>40394.0</v>
      </c>
      <c r="F53" t="str">
        <f t="shared" si="2"/>
        <v>2010-08</v>
      </c>
      <c r="G53" t="str">
        <f>IFERROR(__xludf.DUMMYFUNCTION("""COMPUTED_VALUE"""),"2013-09")</f>
        <v>2013-09</v>
      </c>
      <c r="H53" s="52">
        <f>IFERROR(__xludf.DUMMYFUNCTION("""COMPUTED_VALUE"""),4.0)</f>
        <v>4</v>
      </c>
      <c r="I53" s="56">
        <f t="shared" si="3"/>
        <v>-0.002883487099</v>
      </c>
      <c r="J53" s="45">
        <v>37.0</v>
      </c>
      <c r="K53" t="str">
        <f>IFERROR(__xludf.DUMMYFUNCTION("""COMPUTED_VALUE"""),"2013-09")</f>
        <v>2013-09</v>
      </c>
      <c r="L53">
        <f>IFERROR(__xludf.DUMMYFUNCTION("""COMPUTED_VALUE"""),123.0)</f>
        <v>123</v>
      </c>
      <c r="S53" t="s">
        <v>98</v>
      </c>
      <c r="T53" s="52">
        <v>4.0</v>
      </c>
      <c r="U53" s="57">
        <f t="shared" si="4"/>
        <v>-0.02977169245</v>
      </c>
    </row>
    <row r="54">
      <c r="C54" s="54">
        <f t="shared" si="1"/>
        <v>-0.002883487099</v>
      </c>
      <c r="D54" s="45"/>
      <c r="E54" s="36">
        <v>40403.0</v>
      </c>
      <c r="F54" t="str">
        <f t="shared" si="2"/>
        <v>2010-08</v>
      </c>
      <c r="G54" t="str">
        <f>IFERROR(__xludf.DUMMYFUNCTION("""COMPUTED_VALUE"""),"2013-10")</f>
        <v>2013-10</v>
      </c>
      <c r="H54" s="52">
        <f>IFERROR(__xludf.DUMMYFUNCTION("""COMPUTED_VALUE"""),3.0)</f>
        <v>3</v>
      </c>
      <c r="I54" s="56">
        <f t="shared" si="3"/>
        <v>-0.03265517955</v>
      </c>
      <c r="J54" s="45">
        <v>43.0</v>
      </c>
      <c r="K54" t="str">
        <f>IFERROR(__xludf.DUMMYFUNCTION("""COMPUTED_VALUE"""),"2013-10")</f>
        <v>2013-10</v>
      </c>
      <c r="L54">
        <f>IFERROR(__xludf.DUMMYFUNCTION("""COMPUTED_VALUE"""),182.0)</f>
        <v>182</v>
      </c>
      <c r="S54" t="s">
        <v>99</v>
      </c>
      <c r="T54" s="52">
        <v>3.0</v>
      </c>
      <c r="U54" s="57">
        <f t="shared" si="4"/>
        <v>0.03301038424</v>
      </c>
    </row>
    <row r="55">
      <c r="C55" s="54">
        <f t="shared" si="1"/>
        <v>-0.03265517955</v>
      </c>
      <c r="D55" s="45"/>
      <c r="E55" s="36">
        <v>40410.0</v>
      </c>
      <c r="F55" t="str">
        <f t="shared" si="2"/>
        <v>2010-08</v>
      </c>
      <c r="G55" t="str">
        <f>IFERROR(__xludf.DUMMYFUNCTION("""COMPUTED_VALUE"""),"2013-11")</f>
        <v>2013-11</v>
      </c>
      <c r="H55" s="52">
        <f>IFERROR(__xludf.DUMMYFUNCTION("""COMPUTED_VALUE"""),2.0)</f>
        <v>2</v>
      </c>
      <c r="I55" s="56">
        <f t="shared" si="3"/>
        <v>0.0003552046933</v>
      </c>
      <c r="J55" s="45">
        <v>35.0</v>
      </c>
      <c r="K55" t="str">
        <f>IFERROR(__xludf.DUMMYFUNCTION("""COMPUTED_VALUE"""),"2013-11")</f>
        <v>2013-11</v>
      </c>
      <c r="L55">
        <f>IFERROR(__xludf.DUMMYFUNCTION("""COMPUTED_VALUE"""),119.0)</f>
        <v>119</v>
      </c>
      <c r="S55" t="s">
        <v>100</v>
      </c>
      <c r="T55" s="52">
        <v>2.0</v>
      </c>
      <c r="U55" s="57">
        <f t="shared" si="4"/>
        <v>-0.01524588334</v>
      </c>
    </row>
    <row r="56">
      <c r="C56" s="54">
        <f t="shared" si="1"/>
        <v>0.0003552046933</v>
      </c>
      <c r="D56" s="45"/>
      <c r="E56" s="36">
        <v>40431.0</v>
      </c>
      <c r="F56" t="str">
        <f t="shared" si="2"/>
        <v>2010-09</v>
      </c>
      <c r="G56" t="str">
        <f>IFERROR(__xludf.DUMMYFUNCTION("""COMPUTED_VALUE"""),"2013-12")</f>
        <v>2013-12</v>
      </c>
      <c r="H56" s="52">
        <f>IFERROR(__xludf.DUMMYFUNCTION("""COMPUTED_VALUE"""),2.0)</f>
        <v>2</v>
      </c>
      <c r="I56" s="56">
        <f t="shared" si="3"/>
        <v>-0.01489067865</v>
      </c>
      <c r="J56" s="45">
        <v>2.0</v>
      </c>
      <c r="K56" t="str">
        <f>IFERROR(__xludf.DUMMYFUNCTION("""COMPUTED_VALUE"""),"2013-12")</f>
        <v>2013-12</v>
      </c>
      <c r="L56">
        <f>IFERROR(__xludf.DUMMYFUNCTION("""COMPUTED_VALUE"""),54.0)</f>
        <v>54</v>
      </c>
      <c r="S56" t="s">
        <v>101</v>
      </c>
      <c r="T56" s="52">
        <v>2.0</v>
      </c>
      <c r="U56" s="57">
        <f t="shared" si="4"/>
        <v>0.0156902371</v>
      </c>
    </row>
    <row r="57">
      <c r="C57" s="54">
        <f t="shared" si="1"/>
        <v>-0.01489067865</v>
      </c>
      <c r="D57" s="45"/>
      <c r="E57" s="36">
        <v>40438.0</v>
      </c>
      <c r="F57" t="str">
        <f t="shared" si="2"/>
        <v>2010-09</v>
      </c>
      <c r="G57" t="str">
        <f>IFERROR(__xludf.DUMMYFUNCTION("""COMPUTED_VALUE"""),"2014-01")</f>
        <v>2014-01</v>
      </c>
      <c r="H57" s="52">
        <f>IFERROR(__xludf.DUMMYFUNCTION("""COMPUTED_VALUE"""),3.0)</f>
        <v>3</v>
      </c>
      <c r="I57" s="56">
        <f t="shared" si="3"/>
        <v>0.0007995584518</v>
      </c>
      <c r="J57" s="45">
        <v>0.0</v>
      </c>
      <c r="K57" t="str">
        <f>IFERROR(__xludf.DUMMYFUNCTION("""COMPUTED_VALUE"""),"2014-01")</f>
        <v>2014-01</v>
      </c>
      <c r="L57">
        <f>IFERROR(__xludf.DUMMYFUNCTION("""COMPUTED_VALUE"""),288.0)</f>
        <v>288</v>
      </c>
      <c r="S57" t="s">
        <v>102</v>
      </c>
      <c r="T57" s="52">
        <v>3.0</v>
      </c>
      <c r="U57" s="57">
        <f t="shared" si="4"/>
        <v>-0.06630241566</v>
      </c>
    </row>
    <row r="58">
      <c r="C58" s="54">
        <f t="shared" si="1"/>
        <v>0.0007995584518</v>
      </c>
      <c r="D58" s="45"/>
      <c r="E58" s="36">
        <v>40453.0</v>
      </c>
      <c r="F58" t="str">
        <f t="shared" si="2"/>
        <v>2010-10</v>
      </c>
      <c r="G58" t="str">
        <f>IFERROR(__xludf.DUMMYFUNCTION("""COMPUTED_VALUE"""),"2014-02")</f>
        <v>2014-02</v>
      </c>
      <c r="H58" s="52">
        <f>IFERROR(__xludf.DUMMYFUNCTION("""COMPUTED_VALUE"""),1.0)</f>
        <v>1</v>
      </c>
      <c r="I58" s="56">
        <f t="shared" si="3"/>
        <v>-0.0655028572</v>
      </c>
      <c r="J58" s="45">
        <v>0.0</v>
      </c>
      <c r="K58" t="str">
        <f>IFERROR(__xludf.DUMMYFUNCTION("""COMPUTED_VALUE"""),"2014-02")</f>
        <v>2014-02</v>
      </c>
      <c r="L58">
        <f>IFERROR(__xludf.DUMMYFUNCTION("""COMPUTED_VALUE"""),44.0)</f>
        <v>44</v>
      </c>
      <c r="S58" t="s">
        <v>103</v>
      </c>
      <c r="T58" s="52">
        <v>1.0</v>
      </c>
      <c r="U58" s="57">
        <f t="shared" si="4"/>
        <v>0.07546315868</v>
      </c>
    </row>
    <row r="59">
      <c r="C59" s="54">
        <f t="shared" si="1"/>
        <v>-0.0655028572</v>
      </c>
      <c r="D59" s="45"/>
      <c r="E59" s="36">
        <v>40475.0</v>
      </c>
      <c r="F59" t="str">
        <f t="shared" si="2"/>
        <v>2010-10</v>
      </c>
      <c r="G59" t="str">
        <f>IFERROR(__xludf.DUMMYFUNCTION("""COMPUTED_VALUE"""),"2014-03")</f>
        <v>2014-03</v>
      </c>
      <c r="H59" s="52">
        <f>IFERROR(__xludf.DUMMYFUNCTION("""COMPUTED_VALUE"""),1.0)</f>
        <v>1</v>
      </c>
      <c r="I59" s="56">
        <f t="shared" si="3"/>
        <v>0.009960301479</v>
      </c>
      <c r="J59" s="45">
        <v>0.0</v>
      </c>
      <c r="K59" t="str">
        <f>IFERROR(__xludf.DUMMYFUNCTION("""COMPUTED_VALUE"""),"2014-03")</f>
        <v>2014-03</v>
      </c>
      <c r="L59">
        <f>IFERROR(__xludf.DUMMYFUNCTION("""COMPUTED_VALUE"""),163.0)</f>
        <v>163</v>
      </c>
      <c r="S59" t="s">
        <v>104</v>
      </c>
      <c r="T59" s="52">
        <v>1.0</v>
      </c>
      <c r="U59" s="57">
        <f t="shared" si="4"/>
        <v>-0.01532762817</v>
      </c>
    </row>
    <row r="60">
      <c r="C60" s="54">
        <f t="shared" si="1"/>
        <v>0.007085370637</v>
      </c>
      <c r="D60" s="45"/>
      <c r="E60" s="36">
        <v>40499.0</v>
      </c>
      <c r="F60" t="str">
        <f t="shared" si="2"/>
        <v>2010-11</v>
      </c>
      <c r="G60" t="str">
        <f>IFERROR(__xludf.DUMMYFUNCTION("""COMPUTED_VALUE"""),"2014-05")</f>
        <v>2014-05</v>
      </c>
      <c r="H60" s="52">
        <f>IFERROR(__xludf.DUMMYFUNCTION("""COMPUTED_VALUE"""),3.0)</f>
        <v>3</v>
      </c>
      <c r="I60" s="56">
        <f t="shared" si="3"/>
        <v>-0.005367326693</v>
      </c>
      <c r="J60" s="45">
        <v>0.0</v>
      </c>
      <c r="K60" t="str">
        <f>IFERROR(__xludf.DUMMYFUNCTION("""COMPUTED_VALUE"""),"2014-05")</f>
        <v>2014-05</v>
      </c>
      <c r="L60">
        <f>IFERROR(__xludf.DUMMYFUNCTION("""COMPUTED_VALUE"""),161.0)</f>
        <v>161</v>
      </c>
      <c r="S60" t="s">
        <v>106</v>
      </c>
      <c r="T60" s="52">
        <v>3.0</v>
      </c>
      <c r="U60" s="57">
        <f t="shared" si="4"/>
        <v>-0.01728546406</v>
      </c>
    </row>
    <row r="61">
      <c r="C61" s="54">
        <f t="shared" si="1"/>
        <v>0.009960301479</v>
      </c>
      <c r="D61" s="45"/>
      <c r="E61" s="36">
        <v>40543.0</v>
      </c>
      <c r="F61" t="str">
        <f t="shared" si="2"/>
        <v>2010-12</v>
      </c>
      <c r="G61" t="str">
        <f>IFERROR(__xludf.DUMMYFUNCTION("""COMPUTED_VALUE"""),"2014-06")</f>
        <v>2014-06</v>
      </c>
      <c r="H61" s="52">
        <f>IFERROR(__xludf.DUMMYFUNCTION("""COMPUTED_VALUE"""),2.0)</f>
        <v>2</v>
      </c>
      <c r="I61" s="56">
        <f t="shared" si="3"/>
        <v>-0.02265279075</v>
      </c>
      <c r="J61" s="45">
        <v>0.0</v>
      </c>
      <c r="K61" t="str">
        <f>IFERROR(__xludf.DUMMYFUNCTION("""COMPUTED_VALUE"""),"2014-06")</f>
        <v>2014-06</v>
      </c>
      <c r="L61">
        <f>IFERROR(__xludf.DUMMYFUNCTION("""COMPUTED_VALUE"""),28.0)</f>
        <v>28</v>
      </c>
      <c r="S61" t="s">
        <v>107</v>
      </c>
      <c r="T61" s="52">
        <v>2.0</v>
      </c>
      <c r="U61" s="57">
        <f t="shared" si="4"/>
        <v>0.01009375023</v>
      </c>
    </row>
    <row r="62">
      <c r="C62" s="54">
        <f t="shared" si="1"/>
        <v>-0.005367326693</v>
      </c>
      <c r="D62" s="45"/>
      <c r="E62" s="36">
        <v>40474.0</v>
      </c>
      <c r="F62" t="str">
        <f t="shared" si="2"/>
        <v>2010-10</v>
      </c>
      <c r="G62" t="str">
        <f>IFERROR(__xludf.DUMMYFUNCTION("""COMPUTED_VALUE"""),"2014-07")</f>
        <v>2014-07</v>
      </c>
      <c r="H62" s="52">
        <f>IFERROR(__xludf.DUMMYFUNCTION("""COMPUTED_VALUE"""),2.0)</f>
        <v>2</v>
      </c>
      <c r="I62" s="56">
        <f t="shared" si="3"/>
        <v>-0.01255904053</v>
      </c>
      <c r="J62" s="45">
        <v>288.0</v>
      </c>
      <c r="K62" t="str">
        <f>IFERROR(__xludf.DUMMYFUNCTION("""COMPUTED_VALUE"""),"2014-07")</f>
        <v>2014-07</v>
      </c>
      <c r="L62">
        <f>IFERROR(__xludf.DUMMYFUNCTION("""COMPUTED_VALUE"""),37.0)</f>
        <v>37</v>
      </c>
      <c r="S62" t="s">
        <v>108</v>
      </c>
      <c r="T62" s="52">
        <v>2.0</v>
      </c>
      <c r="U62" s="57">
        <f t="shared" si="4"/>
        <v>0.02991158051</v>
      </c>
    </row>
    <row r="63">
      <c r="C63" s="54">
        <f t="shared" si="1"/>
        <v>-0.02265279075</v>
      </c>
      <c r="D63" s="45"/>
      <c r="E63" s="36">
        <v>40499.0</v>
      </c>
      <c r="F63" t="str">
        <f t="shared" si="2"/>
        <v>2010-11</v>
      </c>
      <c r="G63" t="str">
        <f>IFERROR(__xludf.DUMMYFUNCTION("""COMPUTED_VALUE"""),"2014-08")</f>
        <v>2014-08</v>
      </c>
      <c r="H63" s="52">
        <f>IFERROR(__xludf.DUMMYFUNCTION("""COMPUTED_VALUE"""),1.0)</f>
        <v>1</v>
      </c>
      <c r="I63" s="56">
        <f t="shared" si="3"/>
        <v>0.01735253999</v>
      </c>
      <c r="J63" s="45">
        <v>124.0</v>
      </c>
      <c r="K63" t="str">
        <f>IFERROR(__xludf.DUMMYFUNCTION("""COMPUTED_VALUE"""),"2014-08")</f>
        <v>2014-08</v>
      </c>
      <c r="L63">
        <f>IFERROR(__xludf.DUMMYFUNCTION("""COMPUTED_VALUE"""),19.0)</f>
        <v>19</v>
      </c>
      <c r="S63" t="s">
        <v>109</v>
      </c>
      <c r="T63" s="52">
        <v>1.0</v>
      </c>
      <c r="U63" s="57">
        <f t="shared" si="4"/>
        <v>-0.01466714413</v>
      </c>
    </row>
    <row r="64">
      <c r="C64" s="54">
        <f t="shared" si="1"/>
        <v>-0.01255904053</v>
      </c>
      <c r="D64" s="45"/>
      <c r="E64" s="36">
        <v>40529.0</v>
      </c>
      <c r="F64" t="str">
        <f t="shared" si="2"/>
        <v>2010-12</v>
      </c>
      <c r="G64" t="str">
        <f>IFERROR(__xludf.DUMMYFUNCTION("""COMPUTED_VALUE"""),"2014-09")</f>
        <v>2014-09</v>
      </c>
      <c r="H64" s="52">
        <f>IFERROR(__xludf.DUMMYFUNCTION("""COMPUTED_VALUE"""),2.0)</f>
        <v>2</v>
      </c>
      <c r="I64" s="56">
        <f t="shared" si="3"/>
        <v>0.00268539586</v>
      </c>
      <c r="J64" s="45">
        <v>251.0</v>
      </c>
      <c r="K64" t="str">
        <f>IFERROR(__xludf.DUMMYFUNCTION("""COMPUTED_VALUE"""),"2014-09")</f>
        <v>2014-09</v>
      </c>
      <c r="L64">
        <f>IFERROR(__xludf.DUMMYFUNCTION("""COMPUTED_VALUE"""),355.0)</f>
        <v>355</v>
      </c>
      <c r="S64" t="s">
        <v>110</v>
      </c>
      <c r="T64" s="52">
        <v>2.0</v>
      </c>
      <c r="U64" s="57">
        <f t="shared" si="4"/>
        <v>0.0104209567</v>
      </c>
    </row>
    <row r="65">
      <c r="C65" s="54">
        <f t="shared" si="1"/>
        <v>0.01735253999</v>
      </c>
      <c r="D65" s="45"/>
      <c r="E65" s="36">
        <v>40546.0</v>
      </c>
      <c r="F65" t="str">
        <f t="shared" si="2"/>
        <v>2011-01</v>
      </c>
      <c r="G65" t="str">
        <f>IFERROR(__xludf.DUMMYFUNCTION("""COMPUTED_VALUE"""),"2014-10")</f>
        <v>2014-10</v>
      </c>
      <c r="H65" s="52">
        <f>IFERROR(__xludf.DUMMYFUNCTION("""COMPUTED_VALUE"""),1.0)</f>
        <v>1</v>
      </c>
      <c r="I65" s="56">
        <f t="shared" si="3"/>
        <v>0.01310635256</v>
      </c>
      <c r="J65" s="45">
        <v>44.0</v>
      </c>
      <c r="K65" t="str">
        <f>IFERROR(__xludf.DUMMYFUNCTION("""COMPUTED_VALUE"""),"2014-10")</f>
        <v>2014-10</v>
      </c>
      <c r="L65">
        <f>IFERROR(__xludf.DUMMYFUNCTION("""COMPUTED_VALUE"""),2.0)</f>
        <v>2</v>
      </c>
      <c r="S65" t="s">
        <v>111</v>
      </c>
      <c r="T65" s="52">
        <v>1.0</v>
      </c>
      <c r="U65" s="57">
        <f t="shared" si="4"/>
        <v>0.03308080582</v>
      </c>
    </row>
    <row r="66">
      <c r="C66" s="54">
        <f t="shared" si="1"/>
        <v>0.00268539586</v>
      </c>
      <c r="D66" s="45"/>
      <c r="E66" s="36">
        <v>40551.0</v>
      </c>
      <c r="F66" t="str">
        <f t="shared" si="2"/>
        <v>2011-01</v>
      </c>
      <c r="G66" t="str">
        <f>IFERROR(__xludf.DUMMYFUNCTION("""COMPUTED_VALUE"""),"2014-12")</f>
        <v>2014-12</v>
      </c>
      <c r="H66" s="52">
        <f>IFERROR(__xludf.DUMMYFUNCTION("""COMPUTED_VALUE"""),2.0)</f>
        <v>2</v>
      </c>
      <c r="I66" s="56">
        <f t="shared" si="3"/>
        <v>0.04618715838</v>
      </c>
      <c r="J66" s="45">
        <v>144.0</v>
      </c>
      <c r="K66" t="str">
        <f>IFERROR(__xludf.DUMMYFUNCTION("""COMPUTED_VALUE"""),"2014-12")</f>
        <v>2014-12</v>
      </c>
      <c r="L66">
        <f>IFERROR(__xludf.DUMMYFUNCTION("""COMPUTED_VALUE"""),0.0)</f>
        <v>0</v>
      </c>
      <c r="S66" t="s">
        <v>112</v>
      </c>
      <c r="T66" s="52">
        <v>2.0</v>
      </c>
      <c r="U66" s="57">
        <f t="shared" si="4"/>
        <v>0.002544788714</v>
      </c>
    </row>
    <row r="67">
      <c r="C67" s="54">
        <f t="shared" si="1"/>
        <v>0.01911041159</v>
      </c>
      <c r="D67" s="45"/>
      <c r="E67" s="36">
        <v>40559.0</v>
      </c>
      <c r="F67" t="str">
        <f t="shared" si="2"/>
        <v>2011-01</v>
      </c>
      <c r="G67" t="str">
        <f>IFERROR(__xludf.DUMMYFUNCTION("""COMPUTED_VALUE"""),"2015-01")</f>
        <v>2015-01</v>
      </c>
      <c r="H67" s="52">
        <f>IFERROR(__xludf.DUMMYFUNCTION("""COMPUTED_VALUE"""),11.0)</f>
        <v>11</v>
      </c>
      <c r="I67" s="56">
        <f t="shared" si="3"/>
        <v>0.04873194709</v>
      </c>
      <c r="J67" s="45">
        <v>52.0</v>
      </c>
      <c r="K67" t="str">
        <f>IFERROR(__xludf.DUMMYFUNCTION("""COMPUTED_VALUE"""),"2015-01")</f>
        <v>2015-01</v>
      </c>
      <c r="L67">
        <f>IFERROR(__xludf.DUMMYFUNCTION("""COMPUTED_VALUE"""),707.0)</f>
        <v>707</v>
      </c>
      <c r="S67" t="s">
        <v>114</v>
      </c>
      <c r="T67" s="52">
        <v>11.0</v>
      </c>
      <c r="U67" s="57">
        <f t="shared" si="4"/>
        <v>-0.01331622836</v>
      </c>
    </row>
    <row r="68">
      <c r="C68" s="54">
        <f t="shared" si="1"/>
        <v>0.01310635256</v>
      </c>
      <c r="D68" s="45"/>
      <c r="E68" s="36">
        <v>40565.0</v>
      </c>
      <c r="F68" t="str">
        <f t="shared" si="2"/>
        <v>2011-01</v>
      </c>
      <c r="G68" t="str">
        <f>IFERROR(__xludf.DUMMYFUNCTION("""COMPUTED_VALUE"""),"2015-02")</f>
        <v>2015-02</v>
      </c>
      <c r="H68" s="52">
        <f>IFERROR(__xludf.DUMMYFUNCTION("""COMPUTED_VALUE"""),6.0)</f>
        <v>6</v>
      </c>
      <c r="I68" s="56">
        <f t="shared" si="3"/>
        <v>0.03541571873</v>
      </c>
      <c r="J68" s="45">
        <v>66.0</v>
      </c>
      <c r="K68" t="str">
        <f>IFERROR(__xludf.DUMMYFUNCTION("""COMPUTED_VALUE"""),"2015-02")</f>
        <v>2015-02</v>
      </c>
      <c r="L68">
        <f>IFERROR(__xludf.DUMMYFUNCTION("""COMPUTED_VALUE"""),219.0)</f>
        <v>219</v>
      </c>
      <c r="S68" t="s">
        <v>115</v>
      </c>
      <c r="T68" s="52">
        <v>6.0</v>
      </c>
      <c r="U68" s="57">
        <f t="shared" si="4"/>
        <v>-0.05807022331</v>
      </c>
    </row>
    <row r="69">
      <c r="C69" s="54">
        <f t="shared" si="1"/>
        <v>0.04618715838</v>
      </c>
      <c r="D69" s="45"/>
      <c r="E69" s="36">
        <v>40571.0</v>
      </c>
      <c r="F69" t="str">
        <f t="shared" si="2"/>
        <v>2011-01</v>
      </c>
      <c r="G69" t="str">
        <f>IFERROR(__xludf.DUMMYFUNCTION("""COMPUTED_VALUE"""),"2015-03")</f>
        <v>2015-03</v>
      </c>
      <c r="H69" s="52">
        <f>IFERROR(__xludf.DUMMYFUNCTION("""COMPUTED_VALUE"""),10.0)</f>
        <v>10</v>
      </c>
      <c r="I69" s="56">
        <f t="shared" si="3"/>
        <v>-0.02265450458</v>
      </c>
      <c r="J69" s="45">
        <v>47.0</v>
      </c>
      <c r="K69" t="str">
        <f>IFERROR(__xludf.DUMMYFUNCTION("""COMPUTED_VALUE"""),"2015-03")</f>
        <v>2015-03</v>
      </c>
      <c r="L69">
        <f>IFERROR(__xludf.DUMMYFUNCTION("""COMPUTED_VALUE"""),172.0)</f>
        <v>172</v>
      </c>
      <c r="S69" t="s">
        <v>116</v>
      </c>
      <c r="T69" s="52">
        <v>10.0</v>
      </c>
      <c r="U69" s="57">
        <f t="shared" si="4"/>
        <v>0.02738518708</v>
      </c>
    </row>
    <row r="70">
      <c r="C70" s="54">
        <f t="shared" si="1"/>
        <v>0.04873194709</v>
      </c>
      <c r="D70" s="45"/>
      <c r="E70" s="36">
        <v>40579.0</v>
      </c>
      <c r="F70" t="str">
        <f t="shared" si="2"/>
        <v>2011-02</v>
      </c>
      <c r="G70" t="str">
        <f>IFERROR(__xludf.DUMMYFUNCTION("""COMPUTED_VALUE"""),"2015-04")</f>
        <v>2015-04</v>
      </c>
      <c r="H70" s="52">
        <f>IFERROR(__xludf.DUMMYFUNCTION("""COMPUTED_VALUE"""),5.0)</f>
        <v>5</v>
      </c>
      <c r="I70" s="56">
        <f t="shared" si="3"/>
        <v>0.004730682495</v>
      </c>
      <c r="J70" s="45">
        <v>40.0</v>
      </c>
      <c r="K70" t="str">
        <f>IFERROR(__xludf.DUMMYFUNCTION("""COMPUTED_VALUE"""),"2015-04")</f>
        <v>2015-04</v>
      </c>
      <c r="L70">
        <f>IFERROR(__xludf.DUMMYFUNCTION("""COMPUTED_VALUE"""),155.0)</f>
        <v>155</v>
      </c>
      <c r="S70" t="s">
        <v>117</v>
      </c>
      <c r="T70" s="52">
        <v>5.0</v>
      </c>
      <c r="U70" s="57">
        <f t="shared" si="4"/>
        <v>0.02675350249</v>
      </c>
    </row>
    <row r="71">
      <c r="C71" s="54">
        <f t="shared" si="1"/>
        <v>0.03541571873</v>
      </c>
      <c r="D71" s="45"/>
      <c r="E71" s="36">
        <v>40584.0</v>
      </c>
      <c r="F71" t="str">
        <f t="shared" si="2"/>
        <v>2011-02</v>
      </c>
      <c r="G71" t="str">
        <f>IFERROR(__xludf.DUMMYFUNCTION("""COMPUTED_VALUE"""),"2015-05")</f>
        <v>2015-05</v>
      </c>
      <c r="H71" s="52">
        <f>IFERROR(__xludf.DUMMYFUNCTION("""COMPUTED_VALUE"""),8.0)</f>
        <v>8</v>
      </c>
      <c r="I71" s="56">
        <f t="shared" si="3"/>
        <v>0.03148418498</v>
      </c>
      <c r="J71" s="45">
        <v>42.0</v>
      </c>
      <c r="K71" t="str">
        <f>IFERROR(__xludf.DUMMYFUNCTION("""COMPUTED_VALUE"""),"2015-05")</f>
        <v>2015-05</v>
      </c>
      <c r="L71">
        <f>IFERROR(__xludf.DUMMYFUNCTION("""COMPUTED_VALUE"""),185.0)</f>
        <v>185</v>
      </c>
      <c r="S71" t="s">
        <v>118</v>
      </c>
      <c r="T71" s="52">
        <v>8.0</v>
      </c>
      <c r="U71" s="57">
        <f t="shared" si="4"/>
        <v>-0.000931598265</v>
      </c>
    </row>
    <row r="72">
      <c r="C72" s="54">
        <f t="shared" si="1"/>
        <v>-0.02265450458</v>
      </c>
      <c r="D72" s="45"/>
      <c r="E72" s="36">
        <v>40594.0</v>
      </c>
      <c r="F72" t="str">
        <f t="shared" si="2"/>
        <v>2011-02</v>
      </c>
      <c r="G72" t="str">
        <f>IFERROR(__xludf.DUMMYFUNCTION("""COMPUTED_VALUE"""),"2015-06")</f>
        <v>2015-06</v>
      </c>
      <c r="H72" s="52">
        <f>IFERROR(__xludf.DUMMYFUNCTION("""COMPUTED_VALUE"""),6.0)</f>
        <v>6</v>
      </c>
      <c r="I72" s="56">
        <f t="shared" si="3"/>
        <v>0.03055258672</v>
      </c>
      <c r="J72" s="45">
        <v>47.0</v>
      </c>
      <c r="K72" t="str">
        <f>IFERROR(__xludf.DUMMYFUNCTION("""COMPUTED_VALUE"""),"2015-06")</f>
        <v>2015-06</v>
      </c>
      <c r="L72">
        <f>IFERROR(__xludf.DUMMYFUNCTION("""COMPUTED_VALUE"""),141.0)</f>
        <v>141</v>
      </c>
      <c r="S72" t="s">
        <v>119</v>
      </c>
      <c r="T72" s="52">
        <v>6.0</v>
      </c>
      <c r="U72" s="57">
        <f t="shared" si="4"/>
        <v>0.01102826087</v>
      </c>
    </row>
    <row r="73">
      <c r="C73" s="54">
        <f t="shared" si="1"/>
        <v>0.004730682495</v>
      </c>
      <c r="D73" s="45"/>
      <c r="E73" s="36">
        <v>40605.0</v>
      </c>
      <c r="F73" t="str">
        <f t="shared" si="2"/>
        <v>2011-03</v>
      </c>
      <c r="G73" t="str">
        <f>IFERROR(__xludf.DUMMYFUNCTION("""COMPUTED_VALUE"""),"2015-07")</f>
        <v>2015-07</v>
      </c>
      <c r="H73" s="52">
        <f>IFERROR(__xludf.DUMMYFUNCTION("""COMPUTED_VALUE"""),15.0)</f>
        <v>15</v>
      </c>
      <c r="I73" s="56">
        <f t="shared" si="3"/>
        <v>0.04158084759</v>
      </c>
      <c r="J73" s="45">
        <v>46.0</v>
      </c>
      <c r="K73" t="str">
        <f>IFERROR(__xludf.DUMMYFUNCTION("""COMPUTED_VALUE"""),"2015-07")</f>
        <v>2015-07</v>
      </c>
      <c r="L73">
        <f>IFERROR(__xludf.DUMMYFUNCTION("""COMPUTED_VALUE"""),273.0)</f>
        <v>273</v>
      </c>
      <c r="S73" t="s">
        <v>120</v>
      </c>
      <c r="T73" s="52">
        <v>15.0</v>
      </c>
      <c r="U73" s="57">
        <f t="shared" si="4"/>
        <v>0.03896757547</v>
      </c>
    </row>
    <row r="74">
      <c r="C74" s="54">
        <f t="shared" si="1"/>
        <v>0.03148418498</v>
      </c>
      <c r="D74" s="45"/>
      <c r="E74" s="36">
        <v>40620.0</v>
      </c>
      <c r="F74" t="str">
        <f t="shared" si="2"/>
        <v>2011-03</v>
      </c>
      <c r="G74" t="str">
        <f>IFERROR(__xludf.DUMMYFUNCTION("""COMPUTED_VALUE"""),"2015-08")</f>
        <v>2015-08</v>
      </c>
      <c r="H74" s="52">
        <f>IFERROR(__xludf.DUMMYFUNCTION("""COMPUTED_VALUE"""),4.0)</f>
        <v>4</v>
      </c>
      <c r="I74" s="56">
        <f t="shared" si="3"/>
        <v>0.08054842306</v>
      </c>
      <c r="J74" s="45">
        <v>37.0</v>
      </c>
      <c r="K74" t="str">
        <f>IFERROR(__xludf.DUMMYFUNCTION("""COMPUTED_VALUE"""),"2015-08")</f>
        <v>2015-08</v>
      </c>
      <c r="L74">
        <f>IFERROR(__xludf.DUMMYFUNCTION("""COMPUTED_VALUE"""),63.0)</f>
        <v>63</v>
      </c>
      <c r="S74" t="s">
        <v>121</v>
      </c>
      <c r="T74" s="52">
        <v>4.0</v>
      </c>
      <c r="U74" s="57">
        <f t="shared" si="4"/>
        <v>0.01259197993</v>
      </c>
    </row>
    <row r="75">
      <c r="C75" s="54">
        <f t="shared" si="1"/>
        <v>0.03055258672</v>
      </c>
      <c r="D75" s="45"/>
      <c r="E75" s="36">
        <v>40628.0</v>
      </c>
      <c r="F75" t="str">
        <f t="shared" si="2"/>
        <v>2011-03</v>
      </c>
      <c r="G75" t="str">
        <f>IFERROR(__xludf.DUMMYFUNCTION("""COMPUTED_VALUE"""),"2015-09")</f>
        <v>2015-09</v>
      </c>
      <c r="H75" s="52">
        <f>IFERROR(__xludf.DUMMYFUNCTION("""COMPUTED_VALUE"""),10.0)</f>
        <v>10</v>
      </c>
      <c r="I75" s="56">
        <f t="shared" si="3"/>
        <v>0.09314040299</v>
      </c>
      <c r="J75" s="45">
        <v>21.0</v>
      </c>
      <c r="K75" t="str">
        <f>IFERROR(__xludf.DUMMYFUNCTION("""COMPUTED_VALUE"""),"2015-09")</f>
        <v>2015-09</v>
      </c>
      <c r="L75">
        <f>IFERROR(__xludf.DUMMYFUNCTION("""COMPUTED_VALUE"""),147.0)</f>
        <v>147</v>
      </c>
      <c r="S75" t="s">
        <v>122</v>
      </c>
      <c r="T75" s="52">
        <v>10.0</v>
      </c>
      <c r="U75" s="57">
        <f t="shared" si="4"/>
        <v>-0.006422725756</v>
      </c>
    </row>
    <row r="76">
      <c r="C76" s="54">
        <f t="shared" si="1"/>
        <v>0.04158084759</v>
      </c>
      <c r="D76" s="45"/>
      <c r="E76" s="36">
        <v>40635.0</v>
      </c>
      <c r="F76" t="str">
        <f t="shared" si="2"/>
        <v>2011-04</v>
      </c>
      <c r="G76" t="str">
        <f>IFERROR(__xludf.DUMMYFUNCTION("""COMPUTED_VALUE"""),"2015-10")</f>
        <v>2015-10</v>
      </c>
      <c r="H76" s="52">
        <f>IFERROR(__xludf.DUMMYFUNCTION("""COMPUTED_VALUE"""),7.0)</f>
        <v>7</v>
      </c>
      <c r="I76" s="56">
        <f t="shared" si="3"/>
        <v>0.08671767723</v>
      </c>
      <c r="J76" s="45">
        <v>25.0</v>
      </c>
      <c r="K76" t="str">
        <f>IFERROR(__xludf.DUMMYFUNCTION("""COMPUTED_VALUE"""),"2015-10")</f>
        <v>2015-10</v>
      </c>
      <c r="L76">
        <f>IFERROR(__xludf.DUMMYFUNCTION("""COMPUTED_VALUE"""),291.0)</f>
        <v>291</v>
      </c>
      <c r="S76" t="s">
        <v>123</v>
      </c>
      <c r="T76" s="52">
        <v>7.0</v>
      </c>
      <c r="U76" s="57">
        <f t="shared" si="4"/>
        <v>-0.04538433893</v>
      </c>
    </row>
    <row r="77">
      <c r="C77" s="54">
        <f t="shared" si="1"/>
        <v>0.08054842306</v>
      </c>
      <c r="D77" s="45"/>
      <c r="E77" s="36">
        <v>40647.0</v>
      </c>
      <c r="F77" t="str">
        <f t="shared" si="2"/>
        <v>2011-04</v>
      </c>
      <c r="G77" t="str">
        <f>IFERROR(__xludf.DUMMYFUNCTION("""COMPUTED_VALUE"""),"2015-11")</f>
        <v>2015-11</v>
      </c>
      <c r="H77" s="52">
        <f>IFERROR(__xludf.DUMMYFUNCTION("""COMPUTED_VALUE"""),6.0)</f>
        <v>6</v>
      </c>
      <c r="I77" s="56">
        <f t="shared" si="3"/>
        <v>0.0413333383</v>
      </c>
      <c r="J77" s="45">
        <v>28.0</v>
      </c>
      <c r="K77" t="str">
        <f>IFERROR(__xludf.DUMMYFUNCTION("""COMPUTED_VALUE"""),"2015-11")</f>
        <v>2015-11</v>
      </c>
      <c r="L77">
        <f>IFERROR(__xludf.DUMMYFUNCTION("""COMPUTED_VALUE"""),0.0)</f>
        <v>0</v>
      </c>
      <c r="S77" t="s">
        <v>124</v>
      </c>
      <c r="T77" s="52">
        <v>6.0</v>
      </c>
      <c r="U77" s="57">
        <f t="shared" si="4"/>
        <v>-0.002092196421</v>
      </c>
    </row>
    <row r="78">
      <c r="C78" s="54">
        <f t="shared" si="1"/>
        <v>0.09314040299</v>
      </c>
      <c r="D78" s="45"/>
      <c r="E78" s="36">
        <v>40656.0</v>
      </c>
      <c r="F78" t="str">
        <f t="shared" si="2"/>
        <v>2011-04</v>
      </c>
      <c r="G78" t="str">
        <f>IFERROR(__xludf.DUMMYFUNCTION("""COMPUTED_VALUE"""),"2015-12")</f>
        <v>2015-12</v>
      </c>
      <c r="H78" s="52">
        <f>IFERROR(__xludf.DUMMYFUNCTION("""COMPUTED_VALUE"""),8.0)</f>
        <v>8</v>
      </c>
      <c r="I78" s="56">
        <f t="shared" si="3"/>
        <v>0.03924114188</v>
      </c>
      <c r="J78" s="45">
        <v>14.0</v>
      </c>
      <c r="K78" t="str">
        <f>IFERROR(__xludf.DUMMYFUNCTION("""COMPUTED_VALUE"""),"2015-12")</f>
        <v>2015-12</v>
      </c>
      <c r="L78">
        <f>IFERROR(__xludf.DUMMYFUNCTION("""COMPUTED_VALUE"""),0.0)</f>
        <v>0</v>
      </c>
      <c r="S78" t="s">
        <v>125</v>
      </c>
      <c r="T78" s="52">
        <v>8.0</v>
      </c>
      <c r="U78" s="57">
        <f t="shared" si="4"/>
        <v>-0.01565802904</v>
      </c>
    </row>
    <row r="79">
      <c r="C79" s="54">
        <f t="shared" si="1"/>
        <v>0.08671767723</v>
      </c>
      <c r="D79" s="45"/>
      <c r="E79" s="36">
        <v>40684.0</v>
      </c>
      <c r="F79" t="str">
        <f t="shared" si="2"/>
        <v>2011-05</v>
      </c>
      <c r="G79" t="str">
        <f>IFERROR(__xludf.DUMMYFUNCTION("""COMPUTED_VALUE"""),"2016-01")</f>
        <v>2016-01</v>
      </c>
      <c r="H79" s="52">
        <f>IFERROR(__xludf.DUMMYFUNCTION("""COMPUTED_VALUE"""),5.0)</f>
        <v>5</v>
      </c>
      <c r="I79" s="56">
        <f t="shared" si="3"/>
        <v>0.02358311285</v>
      </c>
      <c r="J79" s="45">
        <v>49.0</v>
      </c>
      <c r="K79" t="str">
        <f>IFERROR(__xludf.DUMMYFUNCTION("""COMPUTED_VALUE"""),"2016-01")</f>
        <v>2016-01</v>
      </c>
      <c r="L79">
        <f>IFERROR(__xludf.DUMMYFUNCTION("""COMPUTED_VALUE"""),0.0)</f>
        <v>0</v>
      </c>
      <c r="S79" t="s">
        <v>126</v>
      </c>
      <c r="T79" s="52">
        <v>5.0</v>
      </c>
      <c r="U79" s="57">
        <f t="shared" si="4"/>
        <v>0.05211961138</v>
      </c>
    </row>
    <row r="80">
      <c r="C80" s="54">
        <f t="shared" si="1"/>
        <v>0.0413333383</v>
      </c>
      <c r="D80" s="45"/>
      <c r="E80" s="36">
        <v>40723.0</v>
      </c>
      <c r="F80" t="str">
        <f t="shared" si="2"/>
        <v>2011-06</v>
      </c>
      <c r="G80" t="str">
        <f>IFERROR(__xludf.DUMMYFUNCTION("""COMPUTED_VALUE"""),"2016-02")</f>
        <v>2016-02</v>
      </c>
      <c r="H80" s="52">
        <f>IFERROR(__xludf.DUMMYFUNCTION("""COMPUTED_VALUE"""),10.0)</f>
        <v>10</v>
      </c>
      <c r="I80" s="56">
        <f t="shared" si="3"/>
        <v>0.07570272423</v>
      </c>
      <c r="J80" s="45">
        <v>23.0</v>
      </c>
      <c r="K80" t="str">
        <f>IFERROR(__xludf.DUMMYFUNCTION("""COMPUTED_VALUE"""),"2016-02")</f>
        <v>2016-02</v>
      </c>
      <c r="L80">
        <f>IFERROR(__xludf.DUMMYFUNCTION("""COMPUTED_VALUE"""),0.0)</f>
        <v>0</v>
      </c>
      <c r="S80" t="s">
        <v>127</v>
      </c>
      <c r="T80" s="52">
        <v>10.0</v>
      </c>
      <c r="U80" s="57">
        <f t="shared" si="4"/>
        <v>-0.03780554801</v>
      </c>
    </row>
    <row r="81">
      <c r="C81" s="54">
        <f t="shared" si="1"/>
        <v>0.03924114188</v>
      </c>
      <c r="D81" s="45"/>
      <c r="E81" s="36">
        <v>40744.0</v>
      </c>
      <c r="F81" t="str">
        <f t="shared" si="2"/>
        <v>2011-07</v>
      </c>
      <c r="G81" t="str">
        <f>IFERROR(__xludf.DUMMYFUNCTION("""COMPUTED_VALUE"""),"2016-03")</f>
        <v>2016-03</v>
      </c>
      <c r="H81" s="52">
        <f>IFERROR(__xludf.DUMMYFUNCTION("""COMPUTED_VALUE"""),14.0)</f>
        <v>14</v>
      </c>
      <c r="I81" s="56">
        <f t="shared" si="3"/>
        <v>0.03789717622</v>
      </c>
      <c r="J81" s="45">
        <v>39.0</v>
      </c>
      <c r="K81" t="str">
        <f>IFERROR(__xludf.DUMMYFUNCTION("""COMPUTED_VALUE"""),"2016-03")</f>
        <v>2016-03</v>
      </c>
      <c r="L81">
        <f>IFERROR(__xludf.DUMMYFUNCTION("""COMPUTED_VALUE"""),0.0)</f>
        <v>0</v>
      </c>
      <c r="S81" t="s">
        <v>128</v>
      </c>
      <c r="T81" s="52">
        <v>14.0</v>
      </c>
      <c r="U81" s="57">
        <f t="shared" si="4"/>
        <v>0.0323775484</v>
      </c>
    </row>
    <row r="82">
      <c r="C82" s="54">
        <f t="shared" si="1"/>
        <v>0.02358311285</v>
      </c>
      <c r="D82" s="45"/>
      <c r="E82" s="36">
        <v>40773.0</v>
      </c>
      <c r="F82" t="str">
        <f t="shared" si="2"/>
        <v>2011-08</v>
      </c>
      <c r="G82" t="str">
        <f>IFERROR(__xludf.DUMMYFUNCTION("""COMPUTED_VALUE"""),"2016-04")</f>
        <v>2016-04</v>
      </c>
      <c r="H82" s="52">
        <f>IFERROR(__xludf.DUMMYFUNCTION("""COMPUTED_VALUE"""),7.0)</f>
        <v>7</v>
      </c>
      <c r="I82" s="56">
        <f t="shared" si="3"/>
        <v>0.07027472462</v>
      </c>
      <c r="J82" s="45">
        <v>30.0</v>
      </c>
      <c r="K82" t="str">
        <f>IFERROR(__xludf.DUMMYFUNCTION("""COMPUTED_VALUE"""),"2016-04")</f>
        <v>2016-04</v>
      </c>
      <c r="L82">
        <f>IFERROR(__xludf.DUMMYFUNCTION("""COMPUTED_VALUE"""),1279.0)</f>
        <v>1279</v>
      </c>
      <c r="S82" t="s">
        <v>129</v>
      </c>
      <c r="T82" s="52">
        <v>7.0</v>
      </c>
      <c r="U82" s="57">
        <f t="shared" si="4"/>
        <v>-0.01386900929</v>
      </c>
    </row>
    <row r="83">
      <c r="C83" s="54">
        <f t="shared" si="1"/>
        <v>0.07570272423</v>
      </c>
      <c r="D83" s="45"/>
      <c r="E83" s="36">
        <v>40801.0</v>
      </c>
      <c r="F83" t="str">
        <f t="shared" si="2"/>
        <v>2011-09</v>
      </c>
      <c r="G83" t="str">
        <f>IFERROR(__xludf.DUMMYFUNCTION("""COMPUTED_VALUE"""),"2016-05")</f>
        <v>2016-05</v>
      </c>
      <c r="H83" s="52">
        <f>IFERROR(__xludf.DUMMYFUNCTION("""COMPUTED_VALUE"""),7.0)</f>
        <v>7</v>
      </c>
      <c r="I83" s="56">
        <f t="shared" si="3"/>
        <v>0.05640571533</v>
      </c>
      <c r="J83" s="45">
        <v>18.0</v>
      </c>
      <c r="K83" t="str">
        <f>IFERROR(__xludf.DUMMYFUNCTION("""COMPUTED_VALUE"""),"2016-05")</f>
        <v>2016-05</v>
      </c>
      <c r="L83">
        <f>IFERROR(__xludf.DUMMYFUNCTION("""COMPUTED_VALUE"""),0.0)</f>
        <v>0</v>
      </c>
      <c r="S83" t="s">
        <v>130</v>
      </c>
      <c r="T83" s="52">
        <v>7.0</v>
      </c>
      <c r="U83" s="57">
        <f t="shared" si="4"/>
        <v>0.007065567622</v>
      </c>
    </row>
    <row r="84">
      <c r="C84" s="54">
        <f t="shared" si="1"/>
        <v>0.03789717622</v>
      </c>
      <c r="D84" s="45"/>
      <c r="E84" s="36">
        <v>40730.0</v>
      </c>
      <c r="F84" t="str">
        <f t="shared" si="2"/>
        <v>2011-07</v>
      </c>
      <c r="G84" t="str">
        <f>IFERROR(__xludf.DUMMYFUNCTION("""COMPUTED_VALUE"""),"2016-06")</f>
        <v>2016-06</v>
      </c>
      <c r="H84" s="52">
        <f>IFERROR(__xludf.DUMMYFUNCTION("""COMPUTED_VALUE"""),7.0)</f>
        <v>7</v>
      </c>
      <c r="I84" s="56">
        <f t="shared" si="3"/>
        <v>0.06347128295</v>
      </c>
      <c r="J84" s="45">
        <v>213.0</v>
      </c>
      <c r="K84" t="str">
        <f>IFERROR(__xludf.DUMMYFUNCTION("""COMPUTED_VALUE"""),"2016-06")</f>
        <v>2016-06</v>
      </c>
      <c r="L84">
        <f>IFERROR(__xludf.DUMMYFUNCTION("""COMPUTED_VALUE"""),0.0)</f>
        <v>0</v>
      </c>
      <c r="S84" t="s">
        <v>131</v>
      </c>
      <c r="T84" s="52">
        <v>7.0</v>
      </c>
      <c r="U84" s="57">
        <f t="shared" si="4"/>
        <v>-0.0009366126086</v>
      </c>
    </row>
    <row r="85">
      <c r="C85" s="54">
        <f t="shared" si="1"/>
        <v>0.07027472462</v>
      </c>
      <c r="D85" s="45"/>
      <c r="E85" s="36">
        <v>40738.0</v>
      </c>
      <c r="F85" t="str">
        <f t="shared" si="2"/>
        <v>2011-07</v>
      </c>
      <c r="G85" t="str">
        <f>IFERROR(__xludf.DUMMYFUNCTION("""COMPUTED_VALUE"""),"2016-07")</f>
        <v>2016-07</v>
      </c>
      <c r="H85" s="52">
        <f>IFERROR(__xludf.DUMMYFUNCTION("""COMPUTED_VALUE"""),2.0)</f>
        <v>2</v>
      </c>
      <c r="I85" s="56">
        <f t="shared" si="3"/>
        <v>0.06253467034</v>
      </c>
      <c r="J85" s="45">
        <v>75.0</v>
      </c>
      <c r="K85" t="str">
        <f>IFERROR(__xludf.DUMMYFUNCTION("""COMPUTED_VALUE"""),"2016-07")</f>
        <v>2016-07</v>
      </c>
      <c r="L85">
        <f>IFERROR(__xludf.DUMMYFUNCTION("""COMPUTED_VALUE"""),0.0)</f>
        <v>0</v>
      </c>
      <c r="S85" t="s">
        <v>132</v>
      </c>
      <c r="T85" s="52">
        <v>2.0</v>
      </c>
      <c r="U85" s="57">
        <f t="shared" si="4"/>
        <v>-0.04994310796</v>
      </c>
    </row>
    <row r="86">
      <c r="C86" s="54">
        <f t="shared" si="1"/>
        <v>0.05640571533</v>
      </c>
      <c r="D86" s="45"/>
      <c r="E86" s="36">
        <v>40746.0</v>
      </c>
      <c r="F86" t="str">
        <f t="shared" si="2"/>
        <v>2011-07</v>
      </c>
      <c r="G86" t="str">
        <f>IFERROR(__xludf.DUMMYFUNCTION("""COMPUTED_VALUE"""),"2016-08")</f>
        <v>2016-08</v>
      </c>
      <c r="H86" s="52">
        <f>IFERROR(__xludf.DUMMYFUNCTION("""COMPUTED_VALUE"""),3.0)</f>
        <v>3</v>
      </c>
      <c r="I86" s="56">
        <f t="shared" si="3"/>
        <v>0.01259156238</v>
      </c>
      <c r="J86" s="45">
        <v>83.0</v>
      </c>
      <c r="K86" t="str">
        <f>IFERROR(__xludf.DUMMYFUNCTION("""COMPUTED_VALUE"""),"2016-08")</f>
        <v>2016-08</v>
      </c>
      <c r="L86">
        <f>IFERROR(__xludf.DUMMYFUNCTION("""COMPUTED_VALUE"""),0.0)</f>
        <v>0</v>
      </c>
      <c r="S86" t="s">
        <v>133</v>
      </c>
      <c r="T86" s="52">
        <v>3.0</v>
      </c>
      <c r="U86" s="57">
        <f t="shared" si="4"/>
        <v>0.01454280999</v>
      </c>
    </row>
    <row r="87">
      <c r="C87" s="54">
        <f t="shared" si="1"/>
        <v>0.06347128295</v>
      </c>
      <c r="D87" s="45"/>
      <c r="E87" s="36">
        <v>40757.0</v>
      </c>
      <c r="F87" t="str">
        <f t="shared" si="2"/>
        <v>2011-08</v>
      </c>
      <c r="G87" t="str">
        <f>IFERROR(__xludf.DUMMYFUNCTION("""COMPUTED_VALUE"""),"2016-09")</f>
        <v>2016-09</v>
      </c>
      <c r="H87" s="52">
        <f>IFERROR(__xludf.DUMMYFUNCTION("""COMPUTED_VALUE"""),5.0)</f>
        <v>5</v>
      </c>
      <c r="I87" s="56">
        <f t="shared" si="3"/>
        <v>0.02713437236</v>
      </c>
      <c r="J87" s="45">
        <v>87.0</v>
      </c>
      <c r="K87" t="str">
        <f>IFERROR(__xludf.DUMMYFUNCTION("""COMPUTED_VALUE"""),"2016-09")</f>
        <v>2016-09</v>
      </c>
      <c r="L87">
        <f>IFERROR(__xludf.DUMMYFUNCTION("""COMPUTED_VALUE"""),0.0)</f>
        <v>0</v>
      </c>
      <c r="S87" t="s">
        <v>134</v>
      </c>
      <c r="T87" s="52">
        <v>5.0</v>
      </c>
      <c r="U87" s="57">
        <f t="shared" si="4"/>
        <v>0.006632837269</v>
      </c>
    </row>
    <row r="88">
      <c r="C88" s="54">
        <f t="shared" si="1"/>
        <v>0.06253467034</v>
      </c>
      <c r="D88" s="45"/>
      <c r="E88" s="36">
        <v>40767.0</v>
      </c>
      <c r="F88" t="str">
        <f t="shared" si="2"/>
        <v>2011-08</v>
      </c>
      <c r="G88" t="str">
        <f>IFERROR(__xludf.DUMMYFUNCTION("""COMPUTED_VALUE"""),"2016-10")</f>
        <v>2016-10</v>
      </c>
      <c r="H88" s="52">
        <f>IFERROR(__xludf.DUMMYFUNCTION("""COMPUTED_VALUE"""),8.0)</f>
        <v>8</v>
      </c>
      <c r="I88" s="56">
        <f t="shared" si="3"/>
        <v>0.03376720963</v>
      </c>
      <c r="J88" s="45">
        <v>123.0</v>
      </c>
      <c r="K88" t="str">
        <f>IFERROR(__xludf.DUMMYFUNCTION("""COMPUTED_VALUE"""),"2016-10")</f>
        <v>2016-10</v>
      </c>
      <c r="L88">
        <f>IFERROR(__xludf.DUMMYFUNCTION("""COMPUTED_VALUE"""),1287.0)</f>
        <v>1287</v>
      </c>
      <c r="S88" t="s">
        <v>135</v>
      </c>
      <c r="T88" s="52">
        <v>8.0</v>
      </c>
      <c r="U88" s="57">
        <f t="shared" si="4"/>
        <v>-0.0591865868</v>
      </c>
    </row>
    <row r="89">
      <c r="C89" s="54">
        <f t="shared" si="1"/>
        <v>0.01259156238</v>
      </c>
      <c r="D89" s="45"/>
      <c r="E89" s="36">
        <v>40781.0</v>
      </c>
      <c r="F89" t="str">
        <f t="shared" si="2"/>
        <v>2011-08</v>
      </c>
      <c r="G89" t="str">
        <f>IFERROR(__xludf.DUMMYFUNCTION("""COMPUTED_VALUE"""),"2016-11")</f>
        <v>2016-11</v>
      </c>
      <c r="H89" s="52">
        <f>IFERROR(__xludf.DUMMYFUNCTION("""COMPUTED_VALUE"""),3.0)</f>
        <v>3</v>
      </c>
      <c r="I89" s="56">
        <f t="shared" si="3"/>
        <v>-0.02541937717</v>
      </c>
      <c r="J89" s="45">
        <v>120.0</v>
      </c>
      <c r="K89" t="str">
        <f>IFERROR(__xludf.DUMMYFUNCTION("""COMPUTED_VALUE"""),"2016-11")</f>
        <v>2016-11</v>
      </c>
      <c r="L89">
        <f>IFERROR(__xludf.DUMMYFUNCTION("""COMPUTED_VALUE"""),0.0)</f>
        <v>0</v>
      </c>
      <c r="S89" t="s">
        <v>136</v>
      </c>
      <c r="T89" s="52">
        <v>3.0</v>
      </c>
      <c r="U89" s="57">
        <f t="shared" si="4"/>
        <v>0.05957713831</v>
      </c>
    </row>
    <row r="90">
      <c r="C90" s="54">
        <f t="shared" si="1"/>
        <v>0.02713437236</v>
      </c>
      <c r="D90" s="45"/>
      <c r="E90" s="36">
        <v>40781.0</v>
      </c>
      <c r="F90" t="str">
        <f t="shared" si="2"/>
        <v>2011-08</v>
      </c>
      <c r="G90" t="str">
        <f>IFERROR(__xludf.DUMMYFUNCTION("""COMPUTED_VALUE"""),"2016-12")</f>
        <v>2016-12</v>
      </c>
      <c r="H90" s="52">
        <f>IFERROR(__xludf.DUMMYFUNCTION("""COMPUTED_VALUE"""),5.0)</f>
        <v>5</v>
      </c>
      <c r="I90" s="56">
        <f t="shared" si="3"/>
        <v>0.03415776114</v>
      </c>
      <c r="J90" s="45">
        <v>0.0</v>
      </c>
      <c r="K90" t="str">
        <f>IFERROR(__xludf.DUMMYFUNCTION("""COMPUTED_VALUE"""),"2016-12")</f>
        <v>2016-12</v>
      </c>
      <c r="L90">
        <f>IFERROR(__xludf.DUMMYFUNCTION("""COMPUTED_VALUE"""),0.0)</f>
        <v>0</v>
      </c>
      <c r="S90" t="s">
        <v>137</v>
      </c>
      <c r="T90" s="52">
        <v>5.0</v>
      </c>
      <c r="U90" s="57">
        <f t="shared" si="4"/>
        <v>-0.0402316812</v>
      </c>
    </row>
    <row r="91">
      <c r="C91" s="54">
        <f t="shared" si="1"/>
        <v>0.03376720963</v>
      </c>
      <c r="D91" s="45"/>
      <c r="E91" s="36">
        <v>40795.0</v>
      </c>
      <c r="F91" t="str">
        <f t="shared" si="2"/>
        <v>2011-09</v>
      </c>
      <c r="G91" t="str">
        <f>IFERROR(__xludf.DUMMYFUNCTION("""COMPUTED_VALUE"""),"2017-01")</f>
        <v>2017-01</v>
      </c>
      <c r="H91" s="52">
        <f>IFERROR(__xludf.DUMMYFUNCTION("""COMPUTED_VALUE"""),6.0)</f>
        <v>6</v>
      </c>
      <c r="I91" s="56">
        <f t="shared" si="3"/>
        <v>-0.00607392006</v>
      </c>
      <c r="J91" s="45">
        <v>100.0</v>
      </c>
      <c r="K91" t="str">
        <f>IFERROR(__xludf.DUMMYFUNCTION("""COMPUTED_VALUE"""),"2017-01")</f>
        <v>2017-01</v>
      </c>
      <c r="L91">
        <f>IFERROR(__xludf.DUMMYFUNCTION("""COMPUTED_VALUE"""),0.0)</f>
        <v>0</v>
      </c>
      <c r="S91" t="s">
        <v>138</v>
      </c>
      <c r="T91" s="52">
        <v>6.0</v>
      </c>
      <c r="U91" s="57">
        <f t="shared" si="4"/>
        <v>0.03213089972</v>
      </c>
    </row>
    <row r="92">
      <c r="C92" s="54">
        <f t="shared" si="1"/>
        <v>-0.02541937717</v>
      </c>
      <c r="D92" s="45"/>
      <c r="E92" s="36">
        <v>40803.0</v>
      </c>
      <c r="F92" t="str">
        <f t="shared" si="2"/>
        <v>2011-09</v>
      </c>
      <c r="G92" t="str">
        <f>IFERROR(__xludf.DUMMYFUNCTION("""COMPUTED_VALUE"""),"2017-02")</f>
        <v>2017-02</v>
      </c>
      <c r="H92" s="52">
        <f>IFERROR(__xludf.DUMMYFUNCTION("""COMPUTED_VALUE"""),5.0)</f>
        <v>5</v>
      </c>
      <c r="I92" s="56">
        <f t="shared" si="3"/>
        <v>0.02605697966</v>
      </c>
      <c r="J92" s="45">
        <v>100.0</v>
      </c>
      <c r="K92" t="str">
        <f>IFERROR(__xludf.DUMMYFUNCTION("""COMPUTED_VALUE"""),"2017-02")</f>
        <v>2017-02</v>
      </c>
      <c r="L92">
        <f>IFERROR(__xludf.DUMMYFUNCTION("""COMPUTED_VALUE"""),0.0)</f>
        <v>0</v>
      </c>
      <c r="S92" t="s">
        <v>139</v>
      </c>
      <c r="T92" s="52">
        <v>5.0</v>
      </c>
      <c r="U92" s="57">
        <f t="shared" si="4"/>
        <v>-0.01191125888</v>
      </c>
    </row>
    <row r="93">
      <c r="C93" s="54">
        <f t="shared" si="1"/>
        <v>0.03415776114</v>
      </c>
      <c r="D93" s="45"/>
      <c r="E93" s="36">
        <v>40816.0</v>
      </c>
      <c r="F93" t="str">
        <f t="shared" si="2"/>
        <v>2011-09</v>
      </c>
      <c r="G93" t="str">
        <f>IFERROR(__xludf.DUMMYFUNCTION("""COMPUTED_VALUE"""),"2017-03")</f>
        <v>2017-03</v>
      </c>
      <c r="H93" s="52">
        <f>IFERROR(__xludf.DUMMYFUNCTION("""COMPUTED_VALUE"""),8.0)</f>
        <v>8</v>
      </c>
      <c r="I93" s="56">
        <f t="shared" si="3"/>
        <v>0.01414572078</v>
      </c>
      <c r="J93" s="45">
        <v>88.0</v>
      </c>
      <c r="K93" t="str">
        <f>IFERROR(__xludf.DUMMYFUNCTION("""COMPUTED_VALUE"""),"2017-03")</f>
        <v>2017-03</v>
      </c>
      <c r="L93">
        <f>IFERROR(__xludf.DUMMYFUNCTION("""COMPUTED_VALUE"""),0.0)</f>
        <v>0</v>
      </c>
      <c r="S93" t="s">
        <v>140</v>
      </c>
      <c r="T93" s="52">
        <v>8.0</v>
      </c>
      <c r="U93" s="57">
        <f t="shared" si="4"/>
        <v>0.011684323</v>
      </c>
    </row>
    <row r="94">
      <c r="C94" s="54">
        <f t="shared" si="1"/>
        <v>-0.00607392006</v>
      </c>
      <c r="D94" s="45"/>
      <c r="E94" s="36">
        <v>40827.0</v>
      </c>
      <c r="F94" t="str">
        <f t="shared" si="2"/>
        <v>2011-10</v>
      </c>
      <c r="G94" t="str">
        <f>IFERROR(__xludf.DUMMYFUNCTION("""COMPUTED_VALUE"""),"2017-04")</f>
        <v>2017-04</v>
      </c>
      <c r="H94" s="52">
        <f>IFERROR(__xludf.DUMMYFUNCTION("""COMPUTED_VALUE"""),3.0)</f>
        <v>3</v>
      </c>
      <c r="I94" s="56">
        <f t="shared" si="3"/>
        <v>0.02583004378</v>
      </c>
      <c r="J94" s="45">
        <v>55.0</v>
      </c>
      <c r="K94" t="str">
        <f>IFERROR(__xludf.DUMMYFUNCTION("""COMPUTED_VALUE"""),"2017-04")</f>
        <v>2017-04</v>
      </c>
      <c r="L94">
        <f>IFERROR(__xludf.DUMMYFUNCTION("""COMPUTED_VALUE"""),0.0)</f>
        <v>0</v>
      </c>
      <c r="S94" t="s">
        <v>141</v>
      </c>
      <c r="T94" s="52">
        <v>3.0</v>
      </c>
      <c r="U94" s="57">
        <f t="shared" si="4"/>
        <v>-0.0220209202</v>
      </c>
    </row>
    <row r="95">
      <c r="C95" s="54">
        <f t="shared" si="1"/>
        <v>0.02605697966</v>
      </c>
      <c r="D95" s="45"/>
      <c r="E95" s="36">
        <v>40838.0</v>
      </c>
      <c r="F95" t="str">
        <f t="shared" si="2"/>
        <v>2011-10</v>
      </c>
      <c r="G95" t="str">
        <f>IFERROR(__xludf.DUMMYFUNCTION("""COMPUTED_VALUE"""),"2017-05")</f>
        <v>2017-05</v>
      </c>
      <c r="H95" s="52">
        <f>IFERROR(__xludf.DUMMYFUNCTION("""COMPUTED_VALUE"""),4.0)</f>
        <v>4</v>
      </c>
      <c r="I95" s="56">
        <f t="shared" si="3"/>
        <v>0.003809123578</v>
      </c>
      <c r="J95" s="45">
        <v>141.0</v>
      </c>
      <c r="K95" t="str">
        <f>IFERROR(__xludf.DUMMYFUNCTION("""COMPUTED_VALUE"""),"2017-05")</f>
        <v>2017-05</v>
      </c>
      <c r="L95">
        <f>IFERROR(__xludf.DUMMYFUNCTION("""COMPUTED_VALUE"""),2611.0)</f>
        <v>2611</v>
      </c>
      <c r="S95" t="s">
        <v>142</v>
      </c>
      <c r="T95" s="52">
        <v>4.0</v>
      </c>
      <c r="U95" s="57">
        <f t="shared" si="4"/>
        <v>-0.01728207905</v>
      </c>
    </row>
    <row r="96">
      <c r="C96" s="54">
        <f t="shared" si="1"/>
        <v>0.01414572078</v>
      </c>
      <c r="D96" s="45"/>
      <c r="E96" s="36">
        <v>40852.0</v>
      </c>
      <c r="F96" t="str">
        <f t="shared" si="2"/>
        <v>2011-11</v>
      </c>
      <c r="G96" t="str">
        <f>IFERROR(__xludf.DUMMYFUNCTION("""COMPUTED_VALUE"""),"2017-06")</f>
        <v>2017-06</v>
      </c>
      <c r="H96" s="52">
        <f>IFERROR(__xludf.DUMMYFUNCTION("""COMPUTED_VALUE"""),5.0)</f>
        <v>5</v>
      </c>
      <c r="I96" s="56">
        <f t="shared" si="3"/>
        <v>-0.01347295547</v>
      </c>
      <c r="J96" s="45">
        <v>125.0</v>
      </c>
      <c r="K96" t="str">
        <f>IFERROR(__xludf.DUMMYFUNCTION("""COMPUTED_VALUE"""),"2017-06")</f>
        <v>2017-06</v>
      </c>
      <c r="L96">
        <f>IFERROR(__xludf.DUMMYFUNCTION("""COMPUTED_VALUE"""),0.0)</f>
        <v>0</v>
      </c>
      <c r="S96" t="s">
        <v>143</v>
      </c>
      <c r="T96" s="52">
        <v>5.0</v>
      </c>
      <c r="U96" s="57">
        <f t="shared" si="4"/>
        <v>0.002833626245</v>
      </c>
    </row>
    <row r="97">
      <c r="C97" s="54">
        <f t="shared" si="1"/>
        <v>0.02583004378</v>
      </c>
      <c r="D97" s="45"/>
      <c r="E97" s="36">
        <v>40858.0</v>
      </c>
      <c r="F97" t="str">
        <f t="shared" si="2"/>
        <v>2011-11</v>
      </c>
      <c r="G97" t="str">
        <f>IFERROR(__xludf.DUMMYFUNCTION("""COMPUTED_VALUE"""),"2017-07")</f>
        <v>2017-07</v>
      </c>
      <c r="H97" s="52">
        <f>IFERROR(__xludf.DUMMYFUNCTION("""COMPUTED_VALUE"""),6.0)</f>
        <v>6</v>
      </c>
      <c r="I97" s="56">
        <f t="shared" si="3"/>
        <v>-0.01063932923</v>
      </c>
      <c r="J97" s="45">
        <v>50.0</v>
      </c>
      <c r="K97" t="str">
        <f>IFERROR(__xludf.DUMMYFUNCTION("""COMPUTED_VALUE"""),"2017-07")</f>
        <v>2017-07</v>
      </c>
      <c r="L97">
        <f>IFERROR(__xludf.DUMMYFUNCTION("""COMPUTED_VALUE"""),0.0)</f>
        <v>0</v>
      </c>
      <c r="S97" t="s">
        <v>144</v>
      </c>
      <c r="T97" s="52">
        <v>6.0</v>
      </c>
      <c r="U97" s="57">
        <f t="shared" si="4"/>
        <v>0.03754409895</v>
      </c>
    </row>
    <row r="98">
      <c r="C98" s="54">
        <f t="shared" si="1"/>
        <v>0.003809123578</v>
      </c>
      <c r="D98" s="45"/>
      <c r="E98" s="36">
        <v>40865.0</v>
      </c>
      <c r="F98" t="str">
        <f t="shared" si="2"/>
        <v>2011-11</v>
      </c>
      <c r="G98" t="str">
        <f>IFERROR(__xludf.DUMMYFUNCTION("""COMPUTED_VALUE"""),"2017-08")</f>
        <v>2017-08</v>
      </c>
      <c r="H98" s="52">
        <f>IFERROR(__xludf.DUMMYFUNCTION("""COMPUTED_VALUE"""),3.0)</f>
        <v>3</v>
      </c>
      <c r="I98" s="56">
        <f t="shared" si="3"/>
        <v>0.02690476973</v>
      </c>
      <c r="J98" s="45">
        <v>28.0</v>
      </c>
      <c r="K98" t="str">
        <f>IFERROR(__xludf.DUMMYFUNCTION("""COMPUTED_VALUE"""),"2017-08")</f>
        <v>2017-08</v>
      </c>
      <c r="L98">
        <f>IFERROR(__xludf.DUMMYFUNCTION("""COMPUTED_VALUE"""),0.0)</f>
        <v>0</v>
      </c>
      <c r="S98" t="s">
        <v>145</v>
      </c>
      <c r="T98" s="52">
        <v>3.0</v>
      </c>
      <c r="U98" s="58" t="str">
        <f t="shared" si="4"/>
        <v>#N/A</v>
      </c>
    </row>
    <row r="99">
      <c r="C99" s="54">
        <f t="shared" si="1"/>
        <v>-0.01347295547</v>
      </c>
      <c r="D99" s="45"/>
      <c r="E99" s="36">
        <v>40872.0</v>
      </c>
      <c r="F99" t="str">
        <f t="shared" si="2"/>
        <v>2011-11</v>
      </c>
      <c r="G99" t="str">
        <f>IFERROR(__xludf.DUMMYFUNCTION("""COMPUTED_VALUE"""),"2017-09")</f>
        <v>2017-09</v>
      </c>
      <c r="H99" s="52">
        <f>IFERROR(__xludf.DUMMYFUNCTION("""COMPUTED_VALUE"""),3.0)</f>
        <v>3</v>
      </c>
      <c r="I99" s="44" t="str">
        <f t="shared" si="3"/>
        <v>#N/A</v>
      </c>
      <c r="J99" s="45">
        <v>36.0</v>
      </c>
      <c r="K99" t="str">
        <f>IFERROR(__xludf.DUMMYFUNCTION("""COMPUTED_VALUE"""),"2017-09")</f>
        <v>2017-09</v>
      </c>
      <c r="L99">
        <f>IFERROR(__xludf.DUMMYFUNCTION("""COMPUTED_VALUE"""),0.0)</f>
        <v>0</v>
      </c>
      <c r="S99" t="s">
        <v>146</v>
      </c>
      <c r="T99" s="52">
        <v>3.0</v>
      </c>
      <c r="U99" s="58" t="str">
        <f t="shared" si="4"/>
        <v>#N/A</v>
      </c>
    </row>
    <row r="100">
      <c r="C100" s="54">
        <f t="shared" si="1"/>
        <v>-0.01063932923</v>
      </c>
      <c r="D100" s="45"/>
      <c r="E100" s="36">
        <v>40879.0</v>
      </c>
      <c r="F100" t="str">
        <f t="shared" si="2"/>
        <v>2011-12</v>
      </c>
      <c r="H100" s="52"/>
      <c r="I100" s="44" t="str">
        <f t="shared" si="3"/>
        <v>#N/A</v>
      </c>
      <c r="J100" s="45">
        <v>36.0</v>
      </c>
      <c r="T100" s="52"/>
    </row>
    <row r="101">
      <c r="C101" s="54">
        <f t="shared" si="1"/>
        <v>0.02690476973</v>
      </c>
      <c r="D101" s="45"/>
      <c r="E101" s="36">
        <v>40881.0</v>
      </c>
      <c r="F101" t="str">
        <f t="shared" si="2"/>
        <v>2011-12</v>
      </c>
      <c r="H101" s="52"/>
      <c r="I101" s="44"/>
      <c r="J101" s="45">
        <v>7.0</v>
      </c>
      <c r="T101" s="52"/>
    </row>
    <row r="102">
      <c r="C102" s="59"/>
      <c r="D102" s="45"/>
      <c r="E102" s="36">
        <v>40892.0</v>
      </c>
      <c r="F102" t="str">
        <f t="shared" si="2"/>
        <v>2011-12</v>
      </c>
      <c r="H102" s="60" t="s">
        <v>148</v>
      </c>
      <c r="I102" s="22" t="s">
        <v>149</v>
      </c>
      <c r="J102" s="45">
        <v>48.0</v>
      </c>
      <c r="T102" s="60" t="s">
        <v>148</v>
      </c>
    </row>
    <row r="103">
      <c r="B103" s="50"/>
      <c r="C103" s="59"/>
      <c r="D103" s="45"/>
      <c r="E103" s="36">
        <v>40915.0</v>
      </c>
      <c r="F103" t="str">
        <f t="shared" si="2"/>
        <v>2012-01</v>
      </c>
      <c r="H103" s="52"/>
      <c r="I103" s="44"/>
      <c r="J103" s="45">
        <v>67.0</v>
      </c>
      <c r="T103" s="52"/>
    </row>
    <row r="104">
      <c r="B104" s="50"/>
      <c r="C104" s="59"/>
      <c r="D104" s="45"/>
      <c r="E104" s="36">
        <v>40928.0</v>
      </c>
      <c r="F104" t="str">
        <f t="shared" si="2"/>
        <v>2012-01</v>
      </c>
      <c r="H104" s="52"/>
      <c r="I104" s="44"/>
      <c r="J104" s="45">
        <v>37.0</v>
      </c>
      <c r="T104" s="52"/>
    </row>
    <row r="105">
      <c r="B105" s="50"/>
      <c r="C105" s="59"/>
      <c r="D105" s="45"/>
      <c r="E105" s="36">
        <v>40936.0</v>
      </c>
      <c r="F105" t="str">
        <f t="shared" si="2"/>
        <v>2012-01</v>
      </c>
      <c r="H105" s="52"/>
      <c r="I105" s="44"/>
      <c r="J105" s="45">
        <v>42.0</v>
      </c>
      <c r="T105" s="52"/>
    </row>
    <row r="106">
      <c r="B106" s="50"/>
      <c r="C106" s="59"/>
      <c r="D106" s="45"/>
      <c r="E106" s="36">
        <v>40942.0</v>
      </c>
      <c r="F106" t="str">
        <f t="shared" si="2"/>
        <v>2012-02</v>
      </c>
      <c r="H106" s="52"/>
      <c r="I106" s="44"/>
      <c r="J106" s="45">
        <v>21.0</v>
      </c>
      <c r="T106" s="52"/>
    </row>
    <row r="107">
      <c r="B107" s="50"/>
      <c r="C107" s="59"/>
      <c r="D107" s="45"/>
      <c r="E107" s="36">
        <v>40956.0</v>
      </c>
      <c r="F107" t="str">
        <f t="shared" si="2"/>
        <v>2012-02</v>
      </c>
      <c r="H107" s="52"/>
      <c r="I107" s="44"/>
      <c r="J107" s="45">
        <v>43.0</v>
      </c>
      <c r="T107" s="52"/>
    </row>
    <row r="108">
      <c r="B108" s="50"/>
      <c r="C108" s="59"/>
      <c r="D108" s="45"/>
      <c r="E108" s="36">
        <v>40970.0</v>
      </c>
      <c r="F108" t="str">
        <f t="shared" si="2"/>
        <v>2012-03</v>
      </c>
      <c r="H108" s="52"/>
      <c r="I108" s="44"/>
      <c r="J108" s="45">
        <v>79.0</v>
      </c>
      <c r="T108" s="52"/>
    </row>
    <row r="109">
      <c r="B109" s="50"/>
      <c r="C109" s="59"/>
      <c r="D109" s="45"/>
      <c r="E109" s="36">
        <v>40983.0</v>
      </c>
      <c r="F109" t="str">
        <f t="shared" si="2"/>
        <v>2012-03</v>
      </c>
      <c r="H109" s="52"/>
      <c r="I109" s="44"/>
      <c r="J109" s="45">
        <v>23.0</v>
      </c>
      <c r="T109" s="52"/>
    </row>
    <row r="110">
      <c r="B110" s="50"/>
      <c r="C110" s="59"/>
      <c r="D110" s="45"/>
      <c r="E110" s="36">
        <v>40991.0</v>
      </c>
      <c r="F110" t="str">
        <f t="shared" si="2"/>
        <v>2012-03</v>
      </c>
      <c r="H110" s="52"/>
      <c r="I110" s="44"/>
      <c r="J110" s="45">
        <v>16.0</v>
      </c>
      <c r="T110" s="52"/>
    </row>
    <row r="111">
      <c r="B111" s="50"/>
      <c r="C111" s="59"/>
      <c r="D111" s="45"/>
      <c r="E111" s="36">
        <v>41008.0</v>
      </c>
      <c r="F111" t="str">
        <f t="shared" si="2"/>
        <v>2012-04</v>
      </c>
      <c r="H111" s="52"/>
      <c r="I111" s="44"/>
      <c r="J111" s="45">
        <v>23.0</v>
      </c>
      <c r="T111" s="52"/>
    </row>
    <row r="112">
      <c r="B112" s="50"/>
      <c r="C112" s="59"/>
      <c r="D112" s="45"/>
      <c r="E112" s="36">
        <v>41029.0</v>
      </c>
      <c r="F112" t="str">
        <f t="shared" si="2"/>
        <v>2012-04</v>
      </c>
      <c r="H112" s="52"/>
      <c r="I112" s="44"/>
      <c r="J112" s="45">
        <v>26.0</v>
      </c>
      <c r="T112" s="52"/>
    </row>
    <row r="113">
      <c r="B113" s="50"/>
      <c r="C113" s="59"/>
      <c r="D113" s="45"/>
      <c r="E113" s="36">
        <v>41033.0</v>
      </c>
      <c r="F113" t="str">
        <f t="shared" si="2"/>
        <v>2012-05</v>
      </c>
      <c r="H113" s="52"/>
      <c r="I113" s="44"/>
      <c r="J113" s="45">
        <v>20.0</v>
      </c>
      <c r="T113" s="52"/>
    </row>
    <row r="114">
      <c r="B114" s="50"/>
      <c r="C114" s="59"/>
      <c r="D114" s="45"/>
      <c r="E114" s="36">
        <v>41044.0</v>
      </c>
      <c r="F114" t="str">
        <f t="shared" si="2"/>
        <v>2012-05</v>
      </c>
      <c r="H114" s="52"/>
      <c r="I114" s="44"/>
      <c r="J114" s="45">
        <v>27.0</v>
      </c>
      <c r="T114" s="52"/>
    </row>
    <row r="115">
      <c r="B115" s="50"/>
      <c r="C115" s="59"/>
      <c r="D115" s="45"/>
      <c r="E115" s="36">
        <v>41066.0</v>
      </c>
      <c r="F115" t="str">
        <f t="shared" si="2"/>
        <v>2012-06</v>
      </c>
      <c r="H115" s="52"/>
      <c r="I115" s="44"/>
      <c r="J115" s="45">
        <v>12.0</v>
      </c>
      <c r="T115" s="52"/>
    </row>
    <row r="116">
      <c r="B116" s="50"/>
      <c r="C116" s="59"/>
      <c r="D116" s="45"/>
      <c r="E116" s="36">
        <v>41101.0</v>
      </c>
      <c r="F116" t="str">
        <f t="shared" si="2"/>
        <v>2012-07</v>
      </c>
      <c r="H116" s="52"/>
      <c r="I116" s="44"/>
      <c r="J116" s="45">
        <v>11.0</v>
      </c>
      <c r="T116" s="52"/>
    </row>
    <row r="117">
      <c r="B117" s="50"/>
      <c r="C117" s="59"/>
      <c r="D117" s="45"/>
      <c r="E117" s="36">
        <v>41124.0</v>
      </c>
      <c r="F117" t="str">
        <f t="shared" si="2"/>
        <v>2012-08</v>
      </c>
      <c r="H117" s="52"/>
      <c r="I117" s="44"/>
      <c r="J117" s="45">
        <v>1.0</v>
      </c>
      <c r="T117" s="52"/>
    </row>
    <row r="118">
      <c r="B118" s="50"/>
      <c r="C118" s="59"/>
      <c r="D118" s="45"/>
      <c r="E118" s="36">
        <v>40925.0</v>
      </c>
      <c r="F118" t="str">
        <f t="shared" si="2"/>
        <v>2012-01</v>
      </c>
      <c r="H118" s="52"/>
      <c r="I118" s="44"/>
      <c r="J118" s="45">
        <v>-125.0</v>
      </c>
      <c r="T118" s="52"/>
    </row>
    <row r="119">
      <c r="B119" s="50"/>
      <c r="C119" s="59"/>
      <c r="D119" s="45"/>
      <c r="E119" s="36">
        <v>40932.0</v>
      </c>
      <c r="F119" t="str">
        <f t="shared" si="2"/>
        <v>2012-01</v>
      </c>
      <c r="H119" s="52"/>
      <c r="I119" s="44"/>
      <c r="J119" s="45">
        <v>55.0</v>
      </c>
      <c r="T119" s="52"/>
    </row>
    <row r="120">
      <c r="B120" s="50"/>
      <c r="C120" s="59"/>
      <c r="D120" s="45"/>
      <c r="E120" s="36">
        <v>40940.0</v>
      </c>
      <c r="F120" t="str">
        <f t="shared" si="2"/>
        <v>2012-02</v>
      </c>
      <c r="H120" s="52"/>
      <c r="I120" s="44"/>
      <c r="J120" s="45">
        <v>64.0</v>
      </c>
      <c r="T120" s="52"/>
    </row>
    <row r="121">
      <c r="B121" s="50"/>
      <c r="C121" s="59"/>
      <c r="D121" s="45"/>
      <c r="E121" s="36">
        <v>40947.0</v>
      </c>
      <c r="F121" t="str">
        <f t="shared" si="2"/>
        <v>2012-02</v>
      </c>
      <c r="H121" s="52"/>
      <c r="I121" s="44"/>
      <c r="J121" s="45">
        <v>38.0</v>
      </c>
      <c r="T121" s="52"/>
    </row>
    <row r="122">
      <c r="B122" s="50"/>
      <c r="C122" s="59"/>
      <c r="D122" s="45"/>
      <c r="E122" s="36">
        <v>40954.0</v>
      </c>
      <c r="F122" t="str">
        <f t="shared" si="2"/>
        <v>2012-02</v>
      </c>
      <c r="H122" s="52"/>
      <c r="I122" s="44"/>
      <c r="J122" s="45">
        <v>32.0</v>
      </c>
      <c r="T122" s="52"/>
    </row>
    <row r="123">
      <c r="B123" s="50"/>
      <c r="C123" s="59"/>
      <c r="D123" s="45"/>
      <c r="E123" s="36">
        <v>40962.0</v>
      </c>
      <c r="F123" t="str">
        <f t="shared" si="2"/>
        <v>2012-02</v>
      </c>
      <c r="H123" s="52"/>
      <c r="I123" s="44"/>
      <c r="J123" s="45">
        <v>86.0</v>
      </c>
      <c r="T123" s="52"/>
    </row>
    <row r="124">
      <c r="B124" s="50"/>
      <c r="C124" s="59"/>
      <c r="D124" s="45"/>
      <c r="E124" s="36">
        <v>40981.0</v>
      </c>
      <c r="F124" t="str">
        <f t="shared" si="2"/>
        <v>2012-03</v>
      </c>
      <c r="H124" s="52"/>
      <c r="I124" s="44"/>
      <c r="J124" s="45">
        <v>241.0</v>
      </c>
      <c r="T124" s="52"/>
    </row>
    <row r="125">
      <c r="B125" s="50"/>
      <c r="C125" s="59"/>
      <c r="D125" s="45"/>
      <c r="E125" s="36">
        <v>40998.0</v>
      </c>
      <c r="F125" t="str">
        <f t="shared" si="2"/>
        <v>2012-03</v>
      </c>
      <c r="H125" s="52"/>
      <c r="I125" s="44"/>
      <c r="J125" s="45">
        <v>117.0</v>
      </c>
      <c r="T125" s="52"/>
    </row>
    <row r="126">
      <c r="B126" s="50"/>
      <c r="C126" s="59"/>
      <c r="D126" s="45"/>
      <c r="E126" s="36">
        <v>41017.0</v>
      </c>
      <c r="F126" t="str">
        <f t="shared" si="2"/>
        <v>2012-04</v>
      </c>
      <c r="H126" s="52"/>
      <c r="I126" s="44"/>
      <c r="J126" s="45">
        <v>117.0</v>
      </c>
      <c r="T126" s="52"/>
    </row>
    <row r="127">
      <c r="B127" s="50"/>
      <c r="C127" s="59"/>
      <c r="D127" s="45"/>
      <c r="E127" s="36">
        <v>41058.0</v>
      </c>
      <c r="F127" t="str">
        <f t="shared" si="2"/>
        <v>2012-05</v>
      </c>
      <c r="H127" s="52"/>
      <c r="I127" s="44"/>
      <c r="J127" s="45">
        <v>295.0</v>
      </c>
      <c r="T127" s="52"/>
    </row>
    <row r="128">
      <c r="B128" s="50"/>
      <c r="C128" s="59"/>
      <c r="D128" s="45"/>
      <c r="E128" s="36">
        <v>41071.0</v>
      </c>
      <c r="F128" t="str">
        <f t="shared" si="2"/>
        <v>2012-06</v>
      </c>
      <c r="H128" s="52"/>
      <c r="I128" s="44"/>
      <c r="J128" s="45">
        <v>63.0</v>
      </c>
      <c r="T128" s="52"/>
    </row>
    <row r="129">
      <c r="B129" s="50"/>
      <c r="C129" s="59"/>
      <c r="D129" s="45"/>
      <c r="E129" s="36">
        <v>41071.0</v>
      </c>
      <c r="F129" t="str">
        <f t="shared" si="2"/>
        <v>2012-06</v>
      </c>
      <c r="H129" s="52"/>
      <c r="I129" s="44"/>
      <c r="J129" s="45">
        <v>0.0</v>
      </c>
      <c r="T129" s="52"/>
    </row>
    <row r="130">
      <c r="B130" s="50"/>
      <c r="C130" s="59"/>
      <c r="D130" s="45"/>
      <c r="E130" s="36">
        <v>41075.0</v>
      </c>
      <c r="F130" t="str">
        <f t="shared" si="2"/>
        <v>2012-06</v>
      </c>
      <c r="H130" s="52"/>
      <c r="I130" s="44"/>
      <c r="J130" s="45">
        <v>72.0</v>
      </c>
      <c r="T130" s="52"/>
    </row>
    <row r="131">
      <c r="B131" s="50"/>
      <c r="C131" s="59"/>
      <c r="D131" s="45"/>
      <c r="E131" s="36">
        <v>41080.0</v>
      </c>
      <c r="F131" t="str">
        <f t="shared" si="2"/>
        <v>2012-06</v>
      </c>
      <c r="H131" s="52"/>
      <c r="I131" s="44"/>
      <c r="J131" s="45">
        <v>49.0</v>
      </c>
      <c r="T131" s="52"/>
    </row>
    <row r="132">
      <c r="B132" s="50"/>
      <c r="C132" s="59"/>
      <c r="D132" s="45"/>
      <c r="E132" s="36">
        <v>41085.0</v>
      </c>
      <c r="F132" t="str">
        <f t="shared" si="2"/>
        <v>2012-06</v>
      </c>
      <c r="H132" s="52"/>
      <c r="I132" s="44"/>
      <c r="J132" s="45">
        <v>46.0</v>
      </c>
      <c r="T132" s="52"/>
    </row>
    <row r="133">
      <c r="B133" s="50"/>
      <c r="C133" s="59"/>
      <c r="D133" s="45"/>
      <c r="E133" s="36">
        <v>41089.0</v>
      </c>
      <c r="F133" t="str">
        <f t="shared" si="2"/>
        <v>2012-06</v>
      </c>
      <c r="H133" s="52"/>
      <c r="I133" s="44"/>
      <c r="J133" s="45">
        <v>32.0</v>
      </c>
      <c r="T133" s="52"/>
    </row>
    <row r="134">
      <c r="B134" s="50"/>
      <c r="C134" s="59"/>
      <c r="D134" s="45"/>
      <c r="E134" s="36">
        <v>41099.0</v>
      </c>
      <c r="F134" t="str">
        <f t="shared" si="2"/>
        <v>2012-07</v>
      </c>
      <c r="H134" s="52"/>
      <c r="I134" s="44"/>
      <c r="J134" s="45">
        <v>45.0</v>
      </c>
      <c r="T134" s="52"/>
    </row>
    <row r="135">
      <c r="B135" s="50"/>
      <c r="C135" s="59"/>
      <c r="D135" s="45"/>
      <c r="E135" s="36">
        <v>41109.0</v>
      </c>
      <c r="F135" t="str">
        <f t="shared" si="2"/>
        <v>2012-07</v>
      </c>
      <c r="H135" s="52"/>
      <c r="I135" s="44"/>
      <c r="J135" s="45">
        <v>66.0</v>
      </c>
      <c r="T135" s="52"/>
    </row>
    <row r="136">
      <c r="B136" s="50"/>
      <c r="C136" s="59"/>
      <c r="D136" s="45"/>
      <c r="E136" s="36">
        <v>41115.0</v>
      </c>
      <c r="F136" t="str">
        <f t="shared" si="2"/>
        <v>2012-07</v>
      </c>
      <c r="H136" s="52"/>
      <c r="I136" s="44"/>
      <c r="J136" s="45">
        <v>25.0</v>
      </c>
      <c r="T136" s="52"/>
    </row>
    <row r="137">
      <c r="B137" s="50"/>
      <c r="C137" s="59"/>
      <c r="D137" s="45"/>
      <c r="E137" s="36">
        <v>41123.0</v>
      </c>
      <c r="F137" t="str">
        <f t="shared" si="2"/>
        <v>2012-08</v>
      </c>
      <c r="H137" s="52"/>
      <c r="I137" s="44"/>
      <c r="J137" s="45">
        <v>33.0</v>
      </c>
      <c r="T137" s="52"/>
    </row>
    <row r="138">
      <c r="B138" s="50"/>
      <c r="C138" s="59"/>
      <c r="D138" s="45"/>
      <c r="E138" s="36">
        <v>41128.0</v>
      </c>
      <c r="F138" t="str">
        <f t="shared" si="2"/>
        <v>2012-08</v>
      </c>
      <c r="H138" s="52"/>
      <c r="I138" s="44"/>
      <c r="J138" s="45">
        <v>35.0</v>
      </c>
      <c r="T138" s="52"/>
    </row>
    <row r="139">
      <c r="B139" s="50"/>
      <c r="C139" s="59"/>
      <c r="D139" s="45"/>
      <c r="E139" s="36">
        <v>41137.0</v>
      </c>
      <c r="F139" t="str">
        <f t="shared" si="2"/>
        <v>2012-08</v>
      </c>
      <c r="H139" s="52"/>
      <c r="I139" s="44"/>
      <c r="J139" s="45">
        <v>17.0</v>
      </c>
      <c r="T139" s="52"/>
    </row>
    <row r="140">
      <c r="B140" s="50"/>
      <c r="C140" s="59"/>
      <c r="D140" s="45"/>
      <c r="E140" s="36">
        <v>41143.0</v>
      </c>
      <c r="F140" t="str">
        <f t="shared" si="2"/>
        <v>2012-08</v>
      </c>
      <c r="H140" s="52"/>
      <c r="I140" s="44"/>
      <c r="J140" s="45">
        <v>27.0</v>
      </c>
      <c r="T140" s="52"/>
    </row>
    <row r="141">
      <c r="B141" s="50"/>
      <c r="C141" s="59"/>
      <c r="D141" s="45"/>
      <c r="E141" s="36">
        <v>41163.0</v>
      </c>
      <c r="F141" t="str">
        <f t="shared" si="2"/>
        <v>2012-09</v>
      </c>
      <c r="H141" s="52"/>
      <c r="I141" s="44"/>
      <c r="J141" s="45">
        <v>52.0</v>
      </c>
      <c r="T141" s="52"/>
    </row>
    <row r="142">
      <c r="B142" s="50"/>
      <c r="C142" s="59"/>
      <c r="D142" s="45"/>
      <c r="E142" s="36">
        <v>41177.0</v>
      </c>
      <c r="F142" t="str">
        <f t="shared" si="2"/>
        <v>2012-09</v>
      </c>
      <c r="H142" s="52"/>
      <c r="I142" s="44"/>
      <c r="J142" s="45">
        <v>35.0</v>
      </c>
      <c r="T142" s="52"/>
    </row>
    <row r="143">
      <c r="B143" s="50"/>
      <c r="C143" s="59"/>
      <c r="D143" s="45"/>
      <c r="E143" s="36">
        <v>41179.0</v>
      </c>
      <c r="F143" t="str">
        <f t="shared" si="2"/>
        <v>2012-09</v>
      </c>
      <c r="H143" s="52"/>
      <c r="I143" s="44"/>
      <c r="J143" s="45">
        <v>6.0</v>
      </c>
      <c r="T143" s="52"/>
    </row>
    <row r="144">
      <c r="B144" s="50"/>
      <c r="C144" s="59"/>
      <c r="D144" s="45"/>
      <c r="E144" s="36">
        <v>41194.0</v>
      </c>
      <c r="F144" t="str">
        <f t="shared" si="2"/>
        <v>2012-10</v>
      </c>
      <c r="H144" s="52"/>
      <c r="I144" s="44"/>
      <c r="J144" s="45">
        <v>24.0</v>
      </c>
      <c r="T144" s="52"/>
    </row>
    <row r="145">
      <c r="B145" s="50"/>
      <c r="C145" s="59"/>
      <c r="D145" s="45"/>
      <c r="E145" s="36">
        <v>41207.0</v>
      </c>
      <c r="F145" t="str">
        <f t="shared" si="2"/>
        <v>2012-10</v>
      </c>
      <c r="H145" s="52"/>
      <c r="I145" s="44"/>
      <c r="J145" s="45">
        <v>30.0</v>
      </c>
      <c r="T145" s="52"/>
    </row>
    <row r="146">
      <c r="B146" s="50"/>
      <c r="C146" s="59"/>
      <c r="D146" s="45"/>
      <c r="E146" s="36">
        <v>41207.0</v>
      </c>
      <c r="F146" t="str">
        <f t="shared" si="2"/>
        <v>2012-10</v>
      </c>
      <c r="H146" s="52"/>
      <c r="I146" s="44"/>
      <c r="J146" s="45">
        <v>5.0</v>
      </c>
      <c r="T146" s="52"/>
    </row>
    <row r="147">
      <c r="B147" s="50"/>
      <c r="C147" s="59"/>
      <c r="D147" s="45"/>
      <c r="E147" s="36">
        <v>41239.0</v>
      </c>
      <c r="F147" t="str">
        <f t="shared" si="2"/>
        <v>2012-11</v>
      </c>
      <c r="H147" s="52"/>
      <c r="I147" s="44"/>
      <c r="J147" s="45">
        <v>15.0</v>
      </c>
      <c r="T147" s="52"/>
    </row>
    <row r="148">
      <c r="B148" s="50"/>
      <c r="C148" s="59"/>
      <c r="D148" s="45"/>
      <c r="E148" s="36">
        <v>41256.0</v>
      </c>
      <c r="F148" t="str">
        <f t="shared" si="2"/>
        <v>2012-12</v>
      </c>
      <c r="H148" s="52"/>
      <c r="I148" s="44"/>
      <c r="J148" s="45">
        <v>18.0</v>
      </c>
      <c r="T148" s="52"/>
    </row>
    <row r="149">
      <c r="B149" s="50"/>
      <c r="C149" s="59"/>
      <c r="D149" s="45"/>
      <c r="E149" s="36">
        <v>41284.0</v>
      </c>
      <c r="F149" t="str">
        <f t="shared" si="2"/>
        <v>2013-01</v>
      </c>
      <c r="H149" s="52"/>
      <c r="I149" s="44"/>
      <c r="J149" s="45">
        <v>25.0</v>
      </c>
      <c r="T149" s="52"/>
    </row>
    <row r="150">
      <c r="B150" s="50"/>
      <c r="C150" s="59"/>
      <c r="D150" s="45"/>
      <c r="E150" s="36">
        <v>41292.0</v>
      </c>
      <c r="F150" t="str">
        <f t="shared" si="2"/>
        <v>2013-01</v>
      </c>
      <c r="H150" s="52"/>
      <c r="I150" s="44"/>
      <c r="J150" s="45">
        <v>21.0</v>
      </c>
      <c r="T150" s="52"/>
    </row>
    <row r="151">
      <c r="B151" s="50"/>
      <c r="C151" s="59"/>
      <c r="D151" s="45"/>
      <c r="E151" s="36">
        <v>41311.0</v>
      </c>
      <c r="F151" t="str">
        <f t="shared" si="2"/>
        <v>2013-02</v>
      </c>
      <c r="H151" s="52"/>
      <c r="I151" s="44"/>
      <c r="J151" s="45">
        <v>19.0</v>
      </c>
      <c r="T151" s="52"/>
    </row>
    <row r="152">
      <c r="B152" s="50"/>
      <c r="C152" s="59"/>
      <c r="D152" s="45"/>
      <c r="E152" s="36">
        <v>41320.0</v>
      </c>
      <c r="F152" t="str">
        <f t="shared" si="2"/>
        <v>2013-02</v>
      </c>
      <c r="H152" s="52"/>
      <c r="I152" s="44"/>
      <c r="J152" s="45">
        <v>16.0</v>
      </c>
      <c r="T152" s="52"/>
    </row>
    <row r="153">
      <c r="B153" s="50"/>
      <c r="C153" s="59"/>
      <c r="D153" s="45"/>
      <c r="E153" s="36">
        <v>41330.0</v>
      </c>
      <c r="F153" t="str">
        <f t="shared" si="2"/>
        <v>2013-02</v>
      </c>
      <c r="H153" s="52"/>
      <c r="I153" s="44"/>
      <c r="J153" s="45">
        <v>11.0</v>
      </c>
      <c r="T153" s="52"/>
    </row>
    <row r="154">
      <c r="B154" s="50"/>
      <c r="C154" s="59"/>
      <c r="D154" s="45"/>
      <c r="E154" s="36">
        <v>41340.0</v>
      </c>
      <c r="F154" t="str">
        <f t="shared" si="2"/>
        <v>2013-03</v>
      </c>
      <c r="H154" s="52"/>
      <c r="I154" s="44"/>
      <c r="J154" s="45">
        <v>22.0</v>
      </c>
      <c r="T154" s="52"/>
    </row>
    <row r="155">
      <c r="B155" s="50"/>
      <c r="C155" s="59"/>
      <c r="D155" s="45"/>
      <c r="E155" s="36">
        <v>41373.0</v>
      </c>
      <c r="F155" t="str">
        <f t="shared" si="2"/>
        <v>2013-04</v>
      </c>
      <c r="H155" s="52"/>
      <c r="I155" s="44"/>
      <c r="J155" s="45">
        <v>6.0</v>
      </c>
      <c r="T155" s="52"/>
    </row>
    <row r="156">
      <c r="B156" s="50"/>
      <c r="C156" s="59"/>
      <c r="D156" s="45"/>
      <c r="E156" s="36">
        <v>41429.0</v>
      </c>
      <c r="F156" t="str">
        <f t="shared" si="2"/>
        <v>2013-06</v>
      </c>
      <c r="H156" s="52"/>
      <c r="I156" s="44"/>
      <c r="J156" s="45">
        <v>0.0</v>
      </c>
      <c r="T156" s="52"/>
    </row>
    <row r="157">
      <c r="B157" s="50"/>
      <c r="C157" s="59"/>
      <c r="D157" s="45"/>
      <c r="E157" s="36">
        <v>41438.0</v>
      </c>
      <c r="F157" t="str">
        <f t="shared" si="2"/>
        <v>2013-06</v>
      </c>
      <c r="H157" s="52"/>
      <c r="I157" s="44"/>
      <c r="J157" s="45">
        <v>0.0</v>
      </c>
      <c r="T157" s="52"/>
    </row>
    <row r="158">
      <c r="B158" s="50"/>
      <c r="C158" s="59"/>
      <c r="D158" s="45"/>
      <c r="E158" s="36">
        <v>41565.0</v>
      </c>
      <c r="F158" t="str">
        <f t="shared" si="2"/>
        <v>2013-10</v>
      </c>
      <c r="H158" s="52"/>
      <c r="I158" s="44"/>
      <c r="J158" s="45">
        <v>0.0</v>
      </c>
      <c r="T158" s="52"/>
    </row>
    <row r="159">
      <c r="B159" s="50"/>
      <c r="C159" s="59"/>
      <c r="D159" s="45"/>
      <c r="E159" s="36">
        <v>41806.0</v>
      </c>
      <c r="F159" t="str">
        <f t="shared" si="2"/>
        <v>2014-06</v>
      </c>
      <c r="H159" s="52"/>
      <c r="I159" s="44"/>
      <c r="J159" s="45">
        <v>0.0</v>
      </c>
      <c r="T159" s="52"/>
    </row>
    <row r="160">
      <c r="B160" s="50"/>
      <c r="C160" s="59"/>
      <c r="D160" s="45"/>
      <c r="E160" s="36">
        <v>41851.0</v>
      </c>
      <c r="F160" t="str">
        <f t="shared" si="2"/>
        <v>2014-07</v>
      </c>
      <c r="H160" s="52"/>
      <c r="I160" s="44"/>
      <c r="J160" s="45">
        <v>0.0</v>
      </c>
      <c r="T160" s="52"/>
    </row>
    <row r="161">
      <c r="B161" s="50"/>
      <c r="C161" s="59"/>
      <c r="D161" s="45"/>
      <c r="E161" s="36">
        <v>41110.0</v>
      </c>
      <c r="F161" t="str">
        <f t="shared" si="2"/>
        <v>2012-07</v>
      </c>
      <c r="H161" s="52"/>
      <c r="I161" s="44"/>
      <c r="J161" s="45">
        <v>49.0</v>
      </c>
      <c r="T161" s="52"/>
    </row>
    <row r="162">
      <c r="B162" s="50"/>
      <c r="C162" s="59"/>
      <c r="D162" s="45"/>
      <c r="E162" s="36">
        <v>41149.0</v>
      </c>
      <c r="F162" t="str">
        <f t="shared" si="2"/>
        <v>2012-08</v>
      </c>
      <c r="H162" s="52"/>
      <c r="I162" s="44"/>
      <c r="J162" s="45">
        <v>234.0</v>
      </c>
      <c r="T162" s="52"/>
    </row>
    <row r="163">
      <c r="B163" s="50"/>
      <c r="C163" s="59"/>
      <c r="D163" s="45"/>
      <c r="E163" s="36">
        <v>41170.0</v>
      </c>
      <c r="F163" t="str">
        <f t="shared" si="2"/>
        <v>2012-09</v>
      </c>
      <c r="H163" s="52"/>
      <c r="I163" s="44"/>
      <c r="J163" s="45">
        <v>93.0</v>
      </c>
      <c r="T163" s="52"/>
    </row>
    <row r="164">
      <c r="B164" s="50"/>
      <c r="C164" s="59"/>
      <c r="D164" s="45"/>
      <c r="E164" s="36">
        <v>41206.0</v>
      </c>
      <c r="F164" t="str">
        <f t="shared" si="2"/>
        <v>2012-10</v>
      </c>
      <c r="H164" s="52"/>
      <c r="I164" s="44"/>
      <c r="J164" s="45">
        <v>161.0</v>
      </c>
      <c r="T164" s="52"/>
    </row>
    <row r="165">
      <c r="B165" s="50"/>
      <c r="C165" s="59"/>
      <c r="D165" s="45"/>
      <c r="E165" s="36">
        <v>41264.0</v>
      </c>
      <c r="F165" t="str">
        <f t="shared" si="2"/>
        <v>2012-12</v>
      </c>
      <c r="H165" s="52"/>
      <c r="I165" s="44"/>
      <c r="J165" s="45">
        <v>256.0</v>
      </c>
      <c r="T165" s="52"/>
    </row>
    <row r="166">
      <c r="B166" s="50"/>
      <c r="C166" s="59"/>
      <c r="D166" s="45"/>
      <c r="E166" s="36">
        <v>41273.0</v>
      </c>
      <c r="F166" t="str">
        <f t="shared" si="2"/>
        <v>2012-12</v>
      </c>
      <c r="H166" s="52"/>
      <c r="I166" s="44"/>
      <c r="J166" s="45">
        <v>38.0</v>
      </c>
      <c r="T166" s="52"/>
    </row>
    <row r="167">
      <c r="B167" s="50"/>
      <c r="C167" s="59"/>
      <c r="D167" s="45"/>
      <c r="E167" s="36">
        <v>41285.0</v>
      </c>
      <c r="F167" t="str">
        <f t="shared" si="2"/>
        <v>2013-01</v>
      </c>
      <c r="H167" s="52"/>
      <c r="I167" s="44"/>
      <c r="J167" s="45">
        <v>91.0</v>
      </c>
      <c r="T167" s="52"/>
    </row>
    <row r="168">
      <c r="B168" s="50"/>
      <c r="C168" s="59"/>
      <c r="D168" s="45"/>
      <c r="E168" s="36">
        <v>41292.0</v>
      </c>
      <c r="F168" t="str">
        <f t="shared" si="2"/>
        <v>2013-01</v>
      </c>
      <c r="H168" s="52"/>
      <c r="I168" s="44"/>
      <c r="J168" s="45">
        <v>42.0</v>
      </c>
      <c r="T168" s="52"/>
    </row>
    <row r="169">
      <c r="B169" s="50"/>
      <c r="C169" s="59"/>
      <c r="D169" s="45"/>
      <c r="E169" s="36">
        <v>41298.0</v>
      </c>
      <c r="F169" t="str">
        <f t="shared" si="2"/>
        <v>2013-01</v>
      </c>
      <c r="H169" s="52"/>
      <c r="I169" s="44"/>
      <c r="J169" s="45">
        <v>43.0</v>
      </c>
      <c r="T169" s="52"/>
    </row>
    <row r="170">
      <c r="B170" s="50"/>
      <c r="C170" s="59"/>
      <c r="D170" s="45"/>
      <c r="E170" s="36">
        <v>41312.0</v>
      </c>
      <c r="F170" t="str">
        <f t="shared" si="2"/>
        <v>2013-02</v>
      </c>
      <c r="H170" s="52"/>
      <c r="I170" s="44"/>
      <c r="J170" s="45">
        <v>69.0</v>
      </c>
      <c r="T170" s="52"/>
    </row>
    <row r="171">
      <c r="B171" s="50"/>
      <c r="C171" s="59"/>
      <c r="D171" s="45"/>
      <c r="E171" s="36">
        <v>41324.0</v>
      </c>
      <c r="F171" t="str">
        <f t="shared" si="2"/>
        <v>2013-02</v>
      </c>
      <c r="H171" s="52"/>
      <c r="I171" s="44"/>
      <c r="J171" s="45">
        <v>63.0</v>
      </c>
      <c r="T171" s="52"/>
    </row>
    <row r="172">
      <c r="B172" s="50"/>
      <c r="C172" s="59"/>
      <c r="D172" s="45"/>
      <c r="E172" s="36">
        <v>41334.0</v>
      </c>
      <c r="F172" t="str">
        <f t="shared" si="2"/>
        <v>2013-03</v>
      </c>
      <c r="H172" s="52"/>
      <c r="I172" s="44"/>
      <c r="J172" s="45">
        <v>132.0</v>
      </c>
      <c r="T172" s="52"/>
    </row>
    <row r="173">
      <c r="B173" s="50"/>
      <c r="C173" s="59"/>
      <c r="D173" s="45"/>
      <c r="E173" s="36">
        <v>41339.0</v>
      </c>
      <c r="F173" t="str">
        <f t="shared" si="2"/>
        <v>2013-03</v>
      </c>
      <c r="H173" s="52"/>
      <c r="I173" s="44"/>
      <c r="J173" s="45">
        <v>82.0</v>
      </c>
      <c r="T173" s="52"/>
    </row>
    <row r="174">
      <c r="B174" s="50"/>
      <c r="C174" s="59"/>
      <c r="D174" s="45"/>
      <c r="E174" s="36">
        <v>41344.0</v>
      </c>
      <c r="F174" t="str">
        <f t="shared" si="2"/>
        <v>2013-03</v>
      </c>
      <c r="H174" s="52"/>
      <c r="I174" s="44"/>
      <c r="J174" s="45">
        <v>68.0</v>
      </c>
      <c r="T174" s="52"/>
    </row>
    <row r="175">
      <c r="B175" s="50"/>
      <c r="C175" s="59"/>
      <c r="D175" s="45"/>
      <c r="E175" s="36">
        <v>41354.0</v>
      </c>
      <c r="F175" t="str">
        <f t="shared" si="2"/>
        <v>2013-03</v>
      </c>
      <c r="H175" s="52"/>
      <c r="I175" s="44"/>
      <c r="J175" s="45">
        <v>42.0</v>
      </c>
      <c r="T175" s="52"/>
    </row>
    <row r="176">
      <c r="B176" s="50"/>
      <c r="C176" s="59"/>
      <c r="D176" s="45"/>
      <c r="E176" s="36">
        <v>41361.0</v>
      </c>
      <c r="F176" t="str">
        <f t="shared" si="2"/>
        <v>2013-03</v>
      </c>
      <c r="H176" s="52"/>
      <c r="I176" s="44"/>
      <c r="J176" s="45">
        <v>38.0</v>
      </c>
      <c r="T176" s="52"/>
    </row>
    <row r="177">
      <c r="B177" s="50"/>
      <c r="C177" s="59"/>
      <c r="D177" s="45"/>
      <c r="E177" s="36">
        <v>41367.0</v>
      </c>
      <c r="F177" t="str">
        <f t="shared" si="2"/>
        <v>2013-04</v>
      </c>
      <c r="H177" s="52"/>
      <c r="I177" s="44"/>
      <c r="J177" s="45">
        <v>26.0</v>
      </c>
      <c r="T177" s="52"/>
    </row>
    <row r="178">
      <c r="B178" s="50"/>
      <c r="C178" s="59"/>
      <c r="D178" s="45"/>
      <c r="E178" s="36">
        <v>41375.0</v>
      </c>
      <c r="F178" t="str">
        <f t="shared" si="2"/>
        <v>2013-04</v>
      </c>
      <c r="H178" s="52"/>
      <c r="I178" s="44"/>
      <c r="J178" s="45">
        <v>32.0</v>
      </c>
      <c r="T178" s="52"/>
    </row>
    <row r="179">
      <c r="B179" s="50"/>
      <c r="C179" s="59"/>
      <c r="D179" s="45"/>
      <c r="E179" s="36">
        <v>41387.0</v>
      </c>
      <c r="F179" t="str">
        <f t="shared" si="2"/>
        <v>2013-04</v>
      </c>
      <c r="H179" s="52"/>
      <c r="I179" s="44"/>
      <c r="J179" s="45">
        <v>32.0</v>
      </c>
      <c r="T179" s="52"/>
    </row>
    <row r="180">
      <c r="B180" s="50"/>
      <c r="C180" s="59"/>
      <c r="D180" s="45"/>
      <c r="E180" s="36">
        <v>41408.0</v>
      </c>
      <c r="F180" t="str">
        <f t="shared" si="2"/>
        <v>2013-05</v>
      </c>
      <c r="H180" s="52"/>
      <c r="I180" s="44"/>
      <c r="J180" s="45">
        <v>41.0</v>
      </c>
      <c r="T180" s="52"/>
    </row>
    <row r="181">
      <c r="B181" s="50"/>
      <c r="C181" s="59"/>
      <c r="D181" s="45"/>
      <c r="E181" s="36">
        <v>41411.0</v>
      </c>
      <c r="F181" t="str">
        <f t="shared" si="2"/>
        <v>2013-05</v>
      </c>
      <c r="H181" s="52"/>
      <c r="I181" s="44"/>
      <c r="J181" s="45">
        <v>15.0</v>
      </c>
      <c r="T181" s="52"/>
    </row>
    <row r="182">
      <c r="B182" s="50"/>
      <c r="C182" s="59"/>
      <c r="D182" s="45"/>
      <c r="E182" s="36">
        <v>41418.0</v>
      </c>
      <c r="F182" t="str">
        <f t="shared" si="2"/>
        <v>2013-05</v>
      </c>
      <c r="H182" s="52"/>
      <c r="I182" s="44"/>
      <c r="J182" s="45">
        <v>23.0</v>
      </c>
      <c r="T182" s="52"/>
    </row>
    <row r="183">
      <c r="B183" s="50"/>
      <c r="C183" s="59"/>
      <c r="D183" s="45"/>
      <c r="E183" s="36">
        <v>41424.0</v>
      </c>
      <c r="F183" t="str">
        <f t="shared" si="2"/>
        <v>2013-05</v>
      </c>
      <c r="H183" s="52"/>
      <c r="I183" s="44"/>
      <c r="J183" s="45">
        <v>16.0</v>
      </c>
      <c r="T183" s="52"/>
    </row>
    <row r="184">
      <c r="B184" s="50"/>
      <c r="C184" s="59"/>
      <c r="D184" s="45"/>
      <c r="E184" s="36">
        <v>41429.0</v>
      </c>
      <c r="F184" t="str">
        <f t="shared" si="2"/>
        <v>2013-06</v>
      </c>
      <c r="H184" s="52"/>
      <c r="I184" s="44"/>
      <c r="J184" s="45">
        <v>13.0</v>
      </c>
      <c r="T184" s="52"/>
    </row>
    <row r="185">
      <c r="B185" s="50"/>
      <c r="C185" s="59"/>
      <c r="D185" s="45"/>
      <c r="E185" s="36">
        <v>41438.0</v>
      </c>
      <c r="F185" t="str">
        <f t="shared" si="2"/>
        <v>2013-06</v>
      </c>
      <c r="H185" s="52"/>
      <c r="I185" s="44"/>
      <c r="J185" s="45">
        <v>14.0</v>
      </c>
      <c r="T185" s="52"/>
    </row>
    <row r="186">
      <c r="B186" s="50"/>
      <c r="C186" s="59"/>
      <c r="D186" s="45"/>
      <c r="E186" s="36">
        <v>41443.0</v>
      </c>
      <c r="F186" t="str">
        <f t="shared" si="2"/>
        <v>2013-06</v>
      </c>
      <c r="H186" s="52"/>
      <c r="I186" s="44"/>
      <c r="J186" s="45">
        <v>15.0</v>
      </c>
      <c r="T186" s="52"/>
    </row>
    <row r="187">
      <c r="B187" s="50"/>
      <c r="C187" s="59"/>
      <c r="D187" s="45"/>
      <c r="E187" s="36">
        <v>41464.0</v>
      </c>
      <c r="F187" t="str">
        <f t="shared" si="2"/>
        <v>2013-07</v>
      </c>
      <c r="H187" s="52"/>
      <c r="I187" s="44"/>
      <c r="J187" s="45">
        <v>24.0</v>
      </c>
      <c r="T187" s="52"/>
    </row>
    <row r="188">
      <c r="B188" s="50"/>
      <c r="C188" s="59"/>
      <c r="D188" s="45"/>
      <c r="E188" s="36">
        <v>41480.0</v>
      </c>
      <c r="F188" t="str">
        <f t="shared" si="2"/>
        <v>2013-07</v>
      </c>
      <c r="H188" s="52"/>
      <c r="I188" s="44"/>
      <c r="J188" s="45">
        <v>23.0</v>
      </c>
      <c r="T188" s="52"/>
    </row>
    <row r="189">
      <c r="B189" s="50"/>
      <c r="C189" s="59"/>
      <c r="D189" s="45"/>
      <c r="E189" s="36">
        <v>41480.0</v>
      </c>
      <c r="F189" t="str">
        <f t="shared" si="2"/>
        <v>2013-07</v>
      </c>
      <c r="H189" s="52"/>
      <c r="I189" s="44"/>
      <c r="J189" s="45">
        <v>6.0</v>
      </c>
      <c r="T189" s="52"/>
    </row>
    <row r="190">
      <c r="B190" s="50"/>
      <c r="C190" s="59"/>
      <c r="D190" s="45"/>
      <c r="E190" s="36">
        <v>41502.0</v>
      </c>
      <c r="F190" t="str">
        <f t="shared" si="2"/>
        <v>2013-08</v>
      </c>
      <c r="H190" s="52"/>
      <c r="I190" s="44"/>
      <c r="J190" s="45">
        <v>25.0</v>
      </c>
      <c r="T190" s="52"/>
    </row>
    <row r="191">
      <c r="B191" s="50"/>
      <c r="C191" s="59"/>
      <c r="D191" s="45"/>
      <c r="E191" s="36">
        <v>41507.0</v>
      </c>
      <c r="F191" t="str">
        <f t="shared" si="2"/>
        <v>2013-08</v>
      </c>
      <c r="H191" s="52"/>
      <c r="I191" s="44"/>
      <c r="J191" s="45">
        <v>18.0</v>
      </c>
      <c r="T191" s="52"/>
    </row>
    <row r="192">
      <c r="B192" s="50"/>
      <c r="C192" s="59"/>
      <c r="D192" s="45"/>
      <c r="E192" s="36">
        <v>41521.0</v>
      </c>
      <c r="F192" t="str">
        <f t="shared" si="2"/>
        <v>2013-09</v>
      </c>
      <c r="H192" s="52"/>
      <c r="I192" s="44"/>
      <c r="J192" s="45">
        <v>13.0</v>
      </c>
      <c r="T192" s="52"/>
    </row>
    <row r="193">
      <c r="B193" s="50"/>
      <c r="C193" s="59"/>
      <c r="D193" s="45"/>
      <c r="E193" s="36">
        <v>41541.0</v>
      </c>
      <c r="F193" t="str">
        <f t="shared" si="2"/>
        <v>2013-09</v>
      </c>
      <c r="H193" s="52"/>
      <c r="I193" s="44"/>
      <c r="J193" s="45">
        <v>18.0</v>
      </c>
      <c r="T193" s="52"/>
    </row>
    <row r="194">
      <c r="B194" s="50"/>
      <c r="C194" s="59"/>
      <c r="D194" s="45"/>
      <c r="E194" s="36">
        <v>41547.0</v>
      </c>
      <c r="F194" t="str">
        <f t="shared" si="2"/>
        <v>2013-09</v>
      </c>
      <c r="H194" s="52"/>
      <c r="I194" s="44"/>
      <c r="J194" s="45">
        <v>7.0</v>
      </c>
      <c r="T194" s="52"/>
    </row>
    <row r="195">
      <c r="B195" s="50"/>
      <c r="C195" s="59"/>
      <c r="D195" s="45"/>
      <c r="E195" s="36">
        <v>41565.0</v>
      </c>
      <c r="F195" t="str">
        <f t="shared" si="2"/>
        <v>2013-10</v>
      </c>
      <c r="H195" s="52"/>
      <c r="I195" s="44"/>
      <c r="J195" s="45">
        <v>23.0</v>
      </c>
      <c r="T195" s="52"/>
    </row>
    <row r="196">
      <c r="B196" s="50"/>
      <c r="C196" s="59"/>
      <c r="D196" s="45"/>
      <c r="E196" s="36">
        <v>41590.0</v>
      </c>
      <c r="F196" t="str">
        <f t="shared" si="2"/>
        <v>2013-11</v>
      </c>
      <c r="H196" s="52"/>
      <c r="I196" s="44"/>
      <c r="J196" s="45">
        <v>29.0</v>
      </c>
      <c r="T196" s="52"/>
    </row>
    <row r="197">
      <c r="B197" s="50"/>
      <c r="C197" s="59"/>
      <c r="D197" s="45"/>
      <c r="E197" s="36">
        <v>41620.0</v>
      </c>
      <c r="F197" t="str">
        <f t="shared" si="2"/>
        <v>2013-12</v>
      </c>
      <c r="H197" s="52"/>
      <c r="I197" s="44"/>
      <c r="J197" s="45">
        <v>42.0</v>
      </c>
      <c r="T197" s="52"/>
    </row>
    <row r="198">
      <c r="B198" s="50"/>
      <c r="C198" s="59"/>
      <c r="D198" s="45"/>
      <c r="E198" s="36">
        <v>41627.0</v>
      </c>
      <c r="F198" t="str">
        <f t="shared" si="2"/>
        <v>2013-12</v>
      </c>
      <c r="H198" s="52"/>
      <c r="I198" s="44"/>
      <c r="J198" s="45">
        <v>12.0</v>
      </c>
      <c r="T198" s="52"/>
    </row>
    <row r="199">
      <c r="B199" s="50"/>
      <c r="C199" s="59"/>
      <c r="D199" s="45"/>
      <c r="E199" s="36">
        <v>41662.0</v>
      </c>
      <c r="F199" t="str">
        <f t="shared" si="2"/>
        <v>2014-01</v>
      </c>
      <c r="H199" s="52"/>
      <c r="I199" s="44"/>
      <c r="J199" s="45">
        <v>39.0</v>
      </c>
      <c r="T199" s="52"/>
    </row>
    <row r="200">
      <c r="B200" s="50"/>
      <c r="C200" s="59"/>
      <c r="D200" s="45"/>
      <c r="E200" s="36">
        <v>41689.0</v>
      </c>
      <c r="F200" t="str">
        <f t="shared" si="2"/>
        <v>2014-02</v>
      </c>
      <c r="H200" s="52"/>
      <c r="I200" s="44"/>
      <c r="J200" s="45">
        <v>44.0</v>
      </c>
      <c r="T200" s="52"/>
    </row>
    <row r="201">
      <c r="B201" s="50"/>
      <c r="C201" s="59"/>
      <c r="D201" s="45"/>
      <c r="E201" s="36">
        <v>41760.0</v>
      </c>
      <c r="F201" t="str">
        <f t="shared" si="2"/>
        <v>2014-05</v>
      </c>
      <c r="H201" s="52"/>
      <c r="I201" s="44"/>
      <c r="J201" s="45">
        <v>46.0</v>
      </c>
      <c r="T201" s="52"/>
    </row>
    <row r="202">
      <c r="B202" s="50"/>
      <c r="C202" s="59"/>
      <c r="D202" s="45"/>
      <c r="E202" s="36">
        <v>41761.0</v>
      </c>
      <c r="F202" t="str">
        <f t="shared" si="2"/>
        <v>2014-05</v>
      </c>
      <c r="H202" s="52"/>
      <c r="I202" s="44"/>
      <c r="J202" s="45">
        <v>4.0</v>
      </c>
      <c r="T202" s="52"/>
    </row>
    <row r="203">
      <c r="B203" s="50"/>
      <c r="C203" s="59"/>
      <c r="D203" s="45"/>
      <c r="E203" s="36">
        <v>41799.0</v>
      </c>
      <c r="F203" t="str">
        <f t="shared" si="2"/>
        <v>2014-06</v>
      </c>
      <c r="H203" s="52"/>
      <c r="I203" s="44"/>
      <c r="J203" s="45">
        <v>28.0</v>
      </c>
      <c r="T203" s="52"/>
    </row>
    <row r="204">
      <c r="B204" s="50"/>
      <c r="C204" s="59"/>
      <c r="D204" s="45"/>
      <c r="E204" s="36">
        <v>41851.0</v>
      </c>
      <c r="F204" t="str">
        <f t="shared" si="2"/>
        <v>2014-07</v>
      </c>
      <c r="H204" s="52"/>
      <c r="I204" s="44"/>
      <c r="J204" s="45">
        <v>37.0</v>
      </c>
      <c r="T204" s="52"/>
    </row>
    <row r="205">
      <c r="B205" s="50"/>
      <c r="C205" s="59"/>
      <c r="D205" s="45"/>
      <c r="E205" s="36">
        <v>41870.0</v>
      </c>
      <c r="F205" t="str">
        <f t="shared" si="2"/>
        <v>2014-08</v>
      </c>
      <c r="H205" s="52"/>
      <c r="I205" s="44"/>
      <c r="J205" s="45">
        <v>19.0</v>
      </c>
      <c r="T205" s="52"/>
    </row>
    <row r="206">
      <c r="B206" s="50"/>
      <c r="C206" s="59"/>
      <c r="D206" s="45"/>
      <c r="E206" s="36">
        <v>41898.0</v>
      </c>
      <c r="F206" t="str">
        <f t="shared" si="2"/>
        <v>2014-09</v>
      </c>
      <c r="H206" s="52"/>
      <c r="I206" s="44"/>
      <c r="J206" s="45">
        <v>15.0</v>
      </c>
      <c r="T206" s="52"/>
    </row>
    <row r="207">
      <c r="B207" s="50"/>
      <c r="C207" s="59"/>
      <c r="D207" s="45"/>
      <c r="E207" s="36">
        <v>41935.0</v>
      </c>
      <c r="F207" t="str">
        <f t="shared" si="2"/>
        <v>2014-10</v>
      </c>
      <c r="H207" s="52"/>
      <c r="I207" s="44"/>
      <c r="J207" s="45">
        <v>2.0</v>
      </c>
      <c r="T207" s="52"/>
    </row>
    <row r="208">
      <c r="B208" s="50"/>
      <c r="C208" s="59"/>
      <c r="D208" s="45"/>
      <c r="E208" s="36">
        <v>41990.0</v>
      </c>
      <c r="F208" t="str">
        <f t="shared" si="2"/>
        <v>2014-12</v>
      </c>
      <c r="H208" s="52"/>
      <c r="I208" s="44"/>
      <c r="J208" s="45">
        <v>0.0</v>
      </c>
      <c r="T208" s="52"/>
    </row>
    <row r="209">
      <c r="B209" s="50"/>
      <c r="C209" s="59"/>
      <c r="D209" s="45"/>
      <c r="E209" s="36">
        <v>41997.0</v>
      </c>
      <c r="F209" t="str">
        <f t="shared" si="2"/>
        <v>2014-12</v>
      </c>
      <c r="H209" s="52"/>
      <c r="I209" s="44"/>
      <c r="J209" s="45">
        <v>0.0</v>
      </c>
      <c r="T209" s="52"/>
    </row>
    <row r="210">
      <c r="B210" s="50"/>
      <c r="C210" s="59"/>
      <c r="D210" s="45"/>
      <c r="E210" s="36">
        <v>42030.0</v>
      </c>
      <c r="F210" t="str">
        <f t="shared" si="2"/>
        <v>2015-01</v>
      </c>
      <c r="H210" s="52"/>
      <c r="I210" s="44"/>
      <c r="J210" s="45">
        <v>0.0</v>
      </c>
      <c r="T210" s="52"/>
    </row>
    <row r="211">
      <c r="B211" s="50"/>
      <c r="C211" s="59"/>
      <c r="D211" s="45"/>
      <c r="E211" s="36">
        <v>42075.0</v>
      </c>
      <c r="F211" t="str">
        <f t="shared" si="2"/>
        <v>2015-03</v>
      </c>
      <c r="H211" s="52"/>
      <c r="I211" s="44"/>
      <c r="J211" s="45">
        <v>0.0</v>
      </c>
      <c r="T211" s="52"/>
    </row>
    <row r="212">
      <c r="B212" s="50"/>
      <c r="C212" s="59"/>
      <c r="D212" s="45"/>
      <c r="E212" s="36">
        <v>42086.0</v>
      </c>
      <c r="F212" t="str">
        <f t="shared" si="2"/>
        <v>2015-03</v>
      </c>
      <c r="H212" s="52"/>
      <c r="I212" s="44"/>
      <c r="J212" s="45">
        <v>0.0</v>
      </c>
      <c r="T212" s="52"/>
    </row>
    <row r="213">
      <c r="B213" s="50"/>
      <c r="C213" s="59"/>
      <c r="D213" s="45"/>
      <c r="E213" s="36">
        <v>42177.0</v>
      </c>
      <c r="F213" t="str">
        <f t="shared" si="2"/>
        <v>2015-06</v>
      </c>
      <c r="H213" s="52"/>
      <c r="I213" s="44"/>
      <c r="J213" s="45">
        <v>0.0</v>
      </c>
      <c r="T213" s="52"/>
    </row>
    <row r="214">
      <c r="B214" s="50"/>
      <c r="C214" s="59"/>
      <c r="D214" s="45"/>
      <c r="E214" s="36">
        <v>42194.0</v>
      </c>
      <c r="F214" t="str">
        <f t="shared" si="2"/>
        <v>2015-07</v>
      </c>
      <c r="H214" s="52"/>
      <c r="I214" s="44"/>
      <c r="J214" s="45">
        <v>0.0</v>
      </c>
      <c r="T214" s="52"/>
    </row>
    <row r="215">
      <c r="B215" s="50"/>
      <c r="C215" s="59"/>
      <c r="D215" s="45"/>
      <c r="E215" s="36">
        <v>42330.0</v>
      </c>
      <c r="F215" t="str">
        <f t="shared" si="2"/>
        <v>2015-11</v>
      </c>
      <c r="H215" s="52"/>
      <c r="I215" s="44"/>
      <c r="J215" s="45">
        <v>0.0</v>
      </c>
      <c r="T215" s="52"/>
    </row>
    <row r="216">
      <c r="B216" s="50"/>
      <c r="C216" s="59"/>
      <c r="D216" s="45"/>
      <c r="E216" s="36">
        <v>42342.0</v>
      </c>
      <c r="F216" t="str">
        <f t="shared" si="2"/>
        <v>2015-12</v>
      </c>
      <c r="H216" s="52"/>
      <c r="I216" s="44"/>
      <c r="J216" s="45">
        <v>0.0</v>
      </c>
      <c r="T216" s="52"/>
    </row>
    <row r="217">
      <c r="B217" s="50"/>
      <c r="C217" s="59"/>
      <c r="D217" s="45"/>
      <c r="E217" s="36">
        <v>42409.0</v>
      </c>
      <c r="F217" t="str">
        <f t="shared" si="2"/>
        <v>2016-02</v>
      </c>
      <c r="H217" s="52"/>
      <c r="I217" s="44"/>
      <c r="J217" s="45">
        <v>0.0</v>
      </c>
      <c r="T217" s="52"/>
    </row>
    <row r="218">
      <c r="B218" s="50"/>
      <c r="C218" s="59"/>
      <c r="D218" s="45"/>
      <c r="E218" s="36">
        <v>42433.0</v>
      </c>
      <c r="F218" t="str">
        <f t="shared" si="2"/>
        <v>2016-03</v>
      </c>
      <c r="H218" s="52"/>
      <c r="I218" s="44"/>
      <c r="J218" s="45">
        <v>0.0</v>
      </c>
      <c r="T218" s="52"/>
    </row>
    <row r="219">
      <c r="B219" s="50"/>
      <c r="C219" s="59"/>
      <c r="D219" s="45"/>
      <c r="E219" s="36">
        <v>42460.0</v>
      </c>
      <c r="F219" t="str">
        <f t="shared" si="2"/>
        <v>2016-03</v>
      </c>
      <c r="H219" s="52"/>
      <c r="I219" s="44"/>
      <c r="J219" s="45">
        <v>0.0</v>
      </c>
      <c r="T219" s="52"/>
    </row>
    <row r="220">
      <c r="B220" s="50"/>
      <c r="C220" s="59"/>
      <c r="D220" s="45"/>
      <c r="E220" s="36">
        <v>42496.0</v>
      </c>
      <c r="F220" t="str">
        <f t="shared" si="2"/>
        <v>2016-05</v>
      </c>
      <c r="H220" s="52"/>
      <c r="I220" s="44"/>
      <c r="J220" s="45">
        <v>0.0</v>
      </c>
      <c r="T220" s="52"/>
    </row>
    <row r="221">
      <c r="B221" s="50"/>
      <c r="C221" s="59"/>
      <c r="D221" s="45"/>
      <c r="E221" s="36">
        <v>42544.0</v>
      </c>
      <c r="F221" t="str">
        <f t="shared" si="2"/>
        <v>2016-06</v>
      </c>
      <c r="H221" s="52"/>
      <c r="I221" s="44"/>
      <c r="J221" s="45">
        <v>0.0</v>
      </c>
      <c r="T221" s="52"/>
    </row>
    <row r="222">
      <c r="B222" s="50"/>
      <c r="C222" s="59"/>
      <c r="D222" s="45"/>
      <c r="E222" s="36">
        <v>42641.0</v>
      </c>
      <c r="F222" t="str">
        <f t="shared" si="2"/>
        <v>2016-09</v>
      </c>
      <c r="H222" s="52"/>
      <c r="I222" s="44"/>
      <c r="J222" s="45">
        <v>0.0</v>
      </c>
      <c r="T222" s="52"/>
    </row>
    <row r="223">
      <c r="B223" s="50"/>
      <c r="C223" s="59"/>
      <c r="D223" s="45"/>
      <c r="E223" s="36">
        <v>42661.0</v>
      </c>
      <c r="F223" t="str">
        <f t="shared" si="2"/>
        <v>2016-10</v>
      </c>
      <c r="H223" s="52"/>
      <c r="I223" s="44"/>
      <c r="J223" s="45">
        <v>0.0</v>
      </c>
      <c r="T223" s="52"/>
    </row>
    <row r="224">
      <c r="B224" s="50"/>
      <c r="C224" s="59"/>
      <c r="D224" s="45"/>
      <c r="E224" s="36">
        <v>41361.0</v>
      </c>
      <c r="F224" t="str">
        <f t="shared" si="2"/>
        <v>2013-03</v>
      </c>
      <c r="H224" s="52"/>
      <c r="I224" s="44"/>
      <c r="J224" s="45">
        <v>89.0</v>
      </c>
      <c r="T224" s="52"/>
    </row>
    <row r="225">
      <c r="B225" s="50"/>
      <c r="C225" s="59"/>
      <c r="D225" s="45"/>
      <c r="E225" s="36">
        <v>41383.0</v>
      </c>
      <c r="F225" t="str">
        <f t="shared" si="2"/>
        <v>2013-04</v>
      </c>
      <c r="H225" s="52"/>
      <c r="I225" s="44"/>
      <c r="J225" s="45">
        <v>123.0</v>
      </c>
      <c r="T225" s="52"/>
    </row>
    <row r="226">
      <c r="B226" s="50"/>
      <c r="C226" s="59"/>
      <c r="D226" s="45"/>
      <c r="E226" s="36">
        <v>41407.0</v>
      </c>
      <c r="F226" t="str">
        <f t="shared" si="2"/>
        <v>2013-05</v>
      </c>
      <c r="H226" s="52"/>
      <c r="I226" s="44"/>
      <c r="J226" s="45">
        <v>98.0</v>
      </c>
      <c r="T226" s="52"/>
    </row>
    <row r="227">
      <c r="B227" s="50"/>
      <c r="C227" s="59"/>
      <c r="D227" s="45"/>
      <c r="E227" s="36">
        <v>41451.0</v>
      </c>
      <c r="F227" t="str">
        <f t="shared" si="2"/>
        <v>2013-06</v>
      </c>
      <c r="H227" s="52"/>
      <c r="I227" s="44"/>
      <c r="J227" s="45">
        <v>221.0</v>
      </c>
      <c r="T227" s="52"/>
    </row>
    <row r="228">
      <c r="B228" s="50"/>
      <c r="C228" s="59"/>
      <c r="D228" s="45"/>
      <c r="E228" s="36">
        <v>41467.0</v>
      </c>
      <c r="F228" t="str">
        <f t="shared" si="2"/>
        <v>2013-07</v>
      </c>
      <c r="H228" s="52"/>
      <c r="I228" s="44"/>
      <c r="J228" s="45">
        <v>79.0</v>
      </c>
      <c r="T228" s="52"/>
    </row>
    <row r="229">
      <c r="B229" s="50"/>
      <c r="C229" s="59"/>
      <c r="D229" s="45"/>
      <c r="E229" s="36">
        <v>41493.0</v>
      </c>
      <c r="F229" t="str">
        <f t="shared" si="2"/>
        <v>2013-08</v>
      </c>
      <c r="H229" s="52"/>
      <c r="I229" s="44"/>
      <c r="J229" s="45">
        <v>149.0</v>
      </c>
      <c r="T229" s="52"/>
    </row>
    <row r="230">
      <c r="B230" s="50"/>
      <c r="C230" s="59"/>
      <c r="D230" s="45"/>
      <c r="E230" s="36">
        <v>41507.0</v>
      </c>
      <c r="F230" t="str">
        <f t="shared" si="2"/>
        <v>2013-08</v>
      </c>
      <c r="H230" s="52"/>
      <c r="I230" s="44"/>
      <c r="J230" s="45">
        <v>111.0</v>
      </c>
      <c r="T230" s="52"/>
    </row>
    <row r="231">
      <c r="B231" s="50"/>
      <c r="C231" s="59"/>
      <c r="D231" s="45"/>
      <c r="E231" s="36">
        <v>41521.0</v>
      </c>
      <c r="F231" t="str">
        <f t="shared" si="2"/>
        <v>2013-09</v>
      </c>
      <c r="H231" s="52"/>
      <c r="I231" s="44"/>
      <c r="J231" s="45">
        <v>85.0</v>
      </c>
      <c r="T231" s="52"/>
    </row>
    <row r="232">
      <c r="B232" s="50"/>
      <c r="C232" s="59"/>
      <c r="D232" s="45"/>
      <c r="E232" s="36">
        <v>41577.0</v>
      </c>
      <c r="F232" t="str">
        <f t="shared" si="2"/>
        <v>2013-10</v>
      </c>
      <c r="H232" s="52"/>
      <c r="I232" s="44"/>
      <c r="J232" s="45">
        <v>159.0</v>
      </c>
      <c r="T232" s="52"/>
    </row>
    <row r="233">
      <c r="B233" s="50"/>
      <c r="C233" s="59"/>
      <c r="D233" s="45"/>
      <c r="E233" s="36">
        <v>41599.0</v>
      </c>
      <c r="F233" t="str">
        <f t="shared" si="2"/>
        <v>2013-11</v>
      </c>
      <c r="H233" s="52"/>
      <c r="I233" s="44"/>
      <c r="J233" s="45">
        <v>90.0</v>
      </c>
      <c r="T233" s="52"/>
    </row>
    <row r="234">
      <c r="B234" s="50"/>
      <c r="C234" s="59"/>
      <c r="D234" s="45"/>
      <c r="E234" s="36">
        <v>41640.0</v>
      </c>
      <c r="F234" t="str">
        <f t="shared" si="2"/>
        <v>2014-01</v>
      </c>
      <c r="H234" s="52"/>
      <c r="I234" s="44"/>
      <c r="J234" s="45">
        <v>132.0</v>
      </c>
      <c r="T234" s="52"/>
    </row>
    <row r="235">
      <c r="B235" s="50"/>
      <c r="C235" s="59"/>
      <c r="D235" s="45"/>
      <c r="E235" s="36">
        <v>41668.0</v>
      </c>
      <c r="F235" t="str">
        <f t="shared" si="2"/>
        <v>2014-01</v>
      </c>
      <c r="H235" s="52"/>
      <c r="I235" s="44"/>
      <c r="J235" s="45">
        <v>117.0</v>
      </c>
      <c r="T235" s="52"/>
    </row>
    <row r="236">
      <c r="B236" s="50"/>
      <c r="C236" s="59"/>
      <c r="D236" s="45"/>
      <c r="E236" s="36">
        <v>41710.0</v>
      </c>
      <c r="F236" t="str">
        <f t="shared" si="2"/>
        <v>2014-03</v>
      </c>
      <c r="H236" s="52"/>
      <c r="I236" s="44"/>
      <c r="J236" s="45">
        <v>163.0</v>
      </c>
      <c r="T236" s="52"/>
    </row>
    <row r="237">
      <c r="B237" s="50"/>
      <c r="C237" s="59"/>
      <c r="D237" s="45"/>
      <c r="E237" s="36">
        <v>41761.0</v>
      </c>
      <c r="F237" t="str">
        <f t="shared" si="2"/>
        <v>2014-05</v>
      </c>
      <c r="H237" s="52"/>
      <c r="I237" s="44"/>
      <c r="J237" s="45">
        <v>111.0</v>
      </c>
      <c r="T237" s="52"/>
    </row>
    <row r="238">
      <c r="B238" s="50"/>
      <c r="C238" s="59"/>
      <c r="D238" s="45"/>
      <c r="E238" s="36">
        <v>41907.0</v>
      </c>
      <c r="F238" t="str">
        <f t="shared" si="2"/>
        <v>2014-09</v>
      </c>
      <c r="H238" s="52"/>
      <c r="I238" s="44"/>
      <c r="J238" s="45">
        <v>340.0</v>
      </c>
      <c r="T238" s="52"/>
    </row>
    <row r="239">
      <c r="B239" s="50"/>
      <c r="C239" s="59"/>
      <c r="D239" s="45"/>
      <c r="E239" s="36">
        <v>42024.0</v>
      </c>
      <c r="F239" t="str">
        <f t="shared" si="2"/>
        <v>2015-01</v>
      </c>
      <c r="H239" s="52"/>
      <c r="I239" s="44"/>
      <c r="J239" s="45">
        <v>121.0</v>
      </c>
      <c r="T239" s="52"/>
    </row>
    <row r="240">
      <c r="B240" s="50"/>
      <c r="C240" s="59"/>
      <c r="D240" s="45"/>
      <c r="E240" s="36">
        <v>42034.0</v>
      </c>
      <c r="F240" t="str">
        <f t="shared" si="2"/>
        <v>2015-01</v>
      </c>
      <c r="H240" s="52"/>
      <c r="I240" s="44"/>
      <c r="J240" s="45">
        <v>0.0</v>
      </c>
      <c r="T240" s="52"/>
    </row>
    <row r="241">
      <c r="B241" s="50"/>
      <c r="C241" s="59"/>
      <c r="D241" s="45"/>
      <c r="E241" s="36">
        <v>42041.0</v>
      </c>
      <c r="F241" t="str">
        <f t="shared" si="2"/>
        <v>2015-02</v>
      </c>
      <c r="H241" s="52"/>
      <c r="I241" s="44"/>
      <c r="J241" s="45">
        <v>0.0</v>
      </c>
      <c r="T241" s="52"/>
    </row>
    <row r="242">
      <c r="B242" s="50"/>
      <c r="C242" s="59"/>
      <c r="D242" s="45"/>
      <c r="E242" s="36">
        <v>42087.0</v>
      </c>
      <c r="F242" t="str">
        <f t="shared" si="2"/>
        <v>2015-03</v>
      </c>
      <c r="H242" s="52"/>
      <c r="I242" s="44"/>
      <c r="J242" s="45">
        <v>0.0</v>
      </c>
      <c r="T242" s="52"/>
    </row>
    <row r="243">
      <c r="B243" s="50"/>
      <c r="C243" s="59"/>
      <c r="D243" s="45"/>
      <c r="E243" s="36">
        <v>42094.0</v>
      </c>
      <c r="F243" t="str">
        <f t="shared" si="2"/>
        <v>2015-03</v>
      </c>
      <c r="H243" s="52"/>
      <c r="I243" s="44"/>
      <c r="J243" s="45">
        <v>0.0</v>
      </c>
      <c r="T243" s="52"/>
    </row>
    <row r="244">
      <c r="B244" s="50"/>
      <c r="C244" s="59"/>
      <c r="D244" s="45"/>
      <c r="E244" s="36">
        <v>42138.0</v>
      </c>
      <c r="F244" t="str">
        <f t="shared" si="2"/>
        <v>2015-05</v>
      </c>
      <c r="H244" s="52"/>
      <c r="I244" s="44"/>
      <c r="J244" s="45">
        <v>0.0</v>
      </c>
      <c r="T244" s="52"/>
    </row>
    <row r="245">
      <c r="B245" s="50"/>
      <c r="C245" s="59"/>
      <c r="D245" s="45"/>
      <c r="E245" s="36">
        <v>42147.0</v>
      </c>
      <c r="F245" t="str">
        <f t="shared" si="2"/>
        <v>2015-05</v>
      </c>
      <c r="H245" s="52"/>
      <c r="I245" s="44"/>
      <c r="J245" s="45">
        <v>0.0</v>
      </c>
      <c r="T245" s="52"/>
    </row>
    <row r="246">
      <c r="B246" s="50"/>
      <c r="C246" s="59"/>
      <c r="D246" s="45"/>
      <c r="E246" s="36">
        <v>42177.0</v>
      </c>
      <c r="F246" t="str">
        <f t="shared" si="2"/>
        <v>2015-06</v>
      </c>
      <c r="H246" s="52"/>
      <c r="I246" s="44"/>
      <c r="J246" s="45">
        <v>0.0</v>
      </c>
      <c r="T246" s="52"/>
    </row>
    <row r="247">
      <c r="B247" s="50"/>
      <c r="C247" s="59"/>
      <c r="D247" s="45"/>
      <c r="E247" s="36">
        <v>42189.0</v>
      </c>
      <c r="F247" t="str">
        <f t="shared" si="2"/>
        <v>2015-07</v>
      </c>
      <c r="H247" s="52"/>
      <c r="I247" s="44"/>
      <c r="J247" s="45">
        <v>0.0</v>
      </c>
      <c r="T247" s="52"/>
    </row>
    <row r="248">
      <c r="B248" s="50"/>
      <c r="C248" s="59"/>
      <c r="D248" s="45"/>
      <c r="E248" s="36">
        <v>42194.0</v>
      </c>
      <c r="F248" t="str">
        <f t="shared" si="2"/>
        <v>2015-07</v>
      </c>
      <c r="H248" s="52"/>
      <c r="I248" s="44"/>
      <c r="J248" s="45">
        <v>0.0</v>
      </c>
      <c r="T248" s="52"/>
    </row>
    <row r="249">
      <c r="B249" s="50"/>
      <c r="C249" s="59"/>
      <c r="D249" s="45"/>
      <c r="E249" s="36">
        <v>42327.0</v>
      </c>
      <c r="F249" t="str">
        <f t="shared" si="2"/>
        <v>2015-11</v>
      </c>
      <c r="H249" s="52"/>
      <c r="I249" s="44"/>
      <c r="J249" s="45">
        <v>0.0</v>
      </c>
      <c r="T249" s="52"/>
    </row>
    <row r="250">
      <c r="B250" s="50"/>
      <c r="C250" s="59"/>
      <c r="D250" s="45"/>
      <c r="E250" s="36">
        <v>42332.0</v>
      </c>
      <c r="F250" t="str">
        <f t="shared" si="2"/>
        <v>2015-11</v>
      </c>
      <c r="H250" s="52"/>
      <c r="I250" s="44"/>
      <c r="J250" s="45">
        <v>0.0</v>
      </c>
      <c r="T250" s="52"/>
    </row>
    <row r="251">
      <c r="B251" s="50"/>
      <c r="C251" s="59"/>
      <c r="D251" s="45"/>
      <c r="E251" s="36">
        <v>42342.0</v>
      </c>
      <c r="F251" t="str">
        <f t="shared" si="2"/>
        <v>2015-12</v>
      </c>
      <c r="H251" s="52"/>
      <c r="I251" s="44"/>
      <c r="J251" s="45">
        <v>0.0</v>
      </c>
      <c r="T251" s="52"/>
    </row>
    <row r="252">
      <c r="B252" s="50"/>
      <c r="C252" s="59"/>
      <c r="D252" s="45"/>
      <c r="E252" s="36">
        <v>42409.0</v>
      </c>
      <c r="F252" t="str">
        <f t="shared" si="2"/>
        <v>2016-02</v>
      </c>
      <c r="H252" s="52"/>
      <c r="I252" s="44"/>
      <c r="J252" s="45">
        <v>0.0</v>
      </c>
      <c r="T252" s="52"/>
    </row>
    <row r="253">
      <c r="B253" s="50"/>
      <c r="C253" s="59"/>
      <c r="D253" s="45"/>
      <c r="E253" s="36">
        <v>42432.0</v>
      </c>
      <c r="F253" t="str">
        <f t="shared" si="2"/>
        <v>2016-03</v>
      </c>
      <c r="H253" s="52"/>
      <c r="I253" s="44"/>
      <c r="J253" s="45">
        <v>0.0</v>
      </c>
      <c r="T253" s="52"/>
    </row>
    <row r="254">
      <c r="B254" s="50"/>
      <c r="C254" s="59"/>
      <c r="D254" s="45"/>
      <c r="E254" s="36">
        <v>42438.0</v>
      </c>
      <c r="F254" t="str">
        <f t="shared" si="2"/>
        <v>2016-03</v>
      </c>
      <c r="H254" s="52"/>
      <c r="I254" s="44"/>
      <c r="J254" s="45">
        <v>0.0</v>
      </c>
      <c r="T254" s="52"/>
    </row>
    <row r="255">
      <c r="B255" s="50"/>
      <c r="C255" s="59"/>
      <c r="D255" s="45"/>
      <c r="E255" s="36">
        <v>42461.0</v>
      </c>
      <c r="F255" t="str">
        <f t="shared" si="2"/>
        <v>2016-04</v>
      </c>
      <c r="H255" s="52"/>
      <c r="I255" s="44"/>
      <c r="J255" s="45">
        <v>0.0</v>
      </c>
      <c r="T255" s="52"/>
    </row>
    <row r="256">
      <c r="B256" s="50"/>
      <c r="C256" s="59"/>
      <c r="D256" s="45"/>
      <c r="E256" s="36">
        <v>42496.0</v>
      </c>
      <c r="F256" t="str">
        <f t="shared" si="2"/>
        <v>2016-05</v>
      </c>
      <c r="H256" s="52"/>
      <c r="I256" s="44"/>
      <c r="J256" s="45">
        <v>0.0</v>
      </c>
      <c r="T256" s="52"/>
    </row>
    <row r="257">
      <c r="B257" s="50"/>
      <c r="C257" s="59"/>
      <c r="D257" s="45"/>
      <c r="E257" s="36">
        <v>42544.0</v>
      </c>
      <c r="F257" t="str">
        <f t="shared" si="2"/>
        <v>2016-06</v>
      </c>
      <c r="H257" s="52"/>
      <c r="I257" s="44"/>
      <c r="J257" s="45">
        <v>0.0</v>
      </c>
      <c r="T257" s="52"/>
    </row>
    <row r="258">
      <c r="B258" s="50"/>
      <c r="C258" s="59"/>
      <c r="D258" s="45"/>
      <c r="E258" s="36">
        <v>42641.0</v>
      </c>
      <c r="F258" t="str">
        <f t="shared" si="2"/>
        <v>2016-09</v>
      </c>
      <c r="H258" s="52"/>
      <c r="I258" s="44"/>
      <c r="J258" s="45">
        <v>0.0</v>
      </c>
      <c r="T258" s="52"/>
    </row>
    <row r="259">
      <c r="B259" s="50"/>
      <c r="C259" s="59"/>
      <c r="D259" s="45"/>
      <c r="E259" s="36">
        <v>42661.0</v>
      </c>
      <c r="F259" t="str">
        <f t="shared" si="2"/>
        <v>2016-10</v>
      </c>
      <c r="H259" s="52"/>
      <c r="I259" s="44"/>
      <c r="J259" s="45">
        <v>0.0</v>
      </c>
      <c r="T259" s="52"/>
    </row>
    <row r="260">
      <c r="B260" s="50"/>
      <c r="C260" s="59"/>
      <c r="D260" s="45"/>
      <c r="E260" s="36">
        <v>42725.0</v>
      </c>
      <c r="F260" t="str">
        <f t="shared" si="2"/>
        <v>2016-12</v>
      </c>
      <c r="H260" s="52"/>
      <c r="I260" s="44"/>
      <c r="J260" s="45">
        <v>0.0</v>
      </c>
      <c r="T260" s="52"/>
    </row>
    <row r="261">
      <c r="B261" s="50"/>
      <c r="C261" s="59"/>
      <c r="D261" s="45"/>
      <c r="E261" s="36">
        <v>42018.0</v>
      </c>
      <c r="F261" t="str">
        <f t="shared" si="2"/>
        <v>2015-01</v>
      </c>
      <c r="H261" s="52"/>
      <c r="I261" s="44"/>
      <c r="J261" s="45">
        <v>472.0</v>
      </c>
      <c r="T261" s="52"/>
    </row>
    <row r="262">
      <c r="B262" s="50"/>
      <c r="C262" s="59"/>
      <c r="D262" s="45"/>
      <c r="E262" s="36">
        <v>42024.0</v>
      </c>
      <c r="F262" t="str">
        <f t="shared" si="2"/>
        <v>2015-01</v>
      </c>
      <c r="H262" s="52"/>
      <c r="I262" s="44"/>
      <c r="J262" s="45">
        <v>0.0</v>
      </c>
      <c r="T262" s="52"/>
    </row>
    <row r="263">
      <c r="B263" s="50"/>
      <c r="C263" s="59"/>
      <c r="D263" s="45"/>
      <c r="E263" s="36">
        <v>42018.0</v>
      </c>
      <c r="F263" t="str">
        <f t="shared" si="2"/>
        <v>2015-01</v>
      </c>
      <c r="H263" s="52"/>
      <c r="I263" s="44"/>
      <c r="J263" s="45">
        <v>5.0</v>
      </c>
      <c r="T263" s="52"/>
    </row>
    <row r="264">
      <c r="B264" s="50"/>
      <c r="C264" s="59"/>
      <c r="D264" s="45"/>
      <c r="E264" s="36">
        <v>42024.0</v>
      </c>
      <c r="F264" t="str">
        <f t="shared" si="2"/>
        <v>2015-01</v>
      </c>
      <c r="H264" s="52"/>
      <c r="I264" s="44"/>
      <c r="J264" s="45">
        <v>0.0</v>
      </c>
      <c r="T264" s="52"/>
    </row>
    <row r="265">
      <c r="B265" s="50"/>
      <c r="C265" s="59"/>
      <c r="D265" s="45"/>
      <c r="E265" s="36">
        <v>42020.0</v>
      </c>
      <c r="F265" t="str">
        <f t="shared" si="2"/>
        <v>2015-01</v>
      </c>
      <c r="H265" s="52"/>
      <c r="I265" s="44"/>
      <c r="J265" s="45">
        <v>27.0</v>
      </c>
      <c r="T265" s="52"/>
    </row>
    <row r="266">
      <c r="B266" s="50"/>
      <c r="C266" s="59"/>
      <c r="D266" s="45"/>
      <c r="E266" s="36">
        <v>42024.0</v>
      </c>
      <c r="F266" t="str">
        <f t="shared" si="2"/>
        <v>2015-01</v>
      </c>
      <c r="H266" s="52"/>
      <c r="I266" s="44"/>
      <c r="J266" s="45">
        <v>0.0</v>
      </c>
      <c r="T266" s="52"/>
    </row>
    <row r="267">
      <c r="B267" s="50"/>
      <c r="C267" s="59"/>
      <c r="D267" s="45"/>
      <c r="E267" s="36">
        <v>42024.0</v>
      </c>
      <c r="F267" t="str">
        <f t="shared" si="2"/>
        <v>2015-01</v>
      </c>
      <c r="H267" s="52"/>
      <c r="I267" s="44"/>
      <c r="J267" s="45">
        <v>35.0</v>
      </c>
      <c r="T267" s="52"/>
    </row>
    <row r="268">
      <c r="B268" s="50"/>
      <c r="C268" s="59"/>
      <c r="D268" s="45"/>
      <c r="E268" s="36">
        <v>42028.0</v>
      </c>
      <c r="F268" t="str">
        <f t="shared" si="2"/>
        <v>2015-01</v>
      </c>
      <c r="H268" s="52"/>
      <c r="I268" s="44"/>
      <c r="J268" s="45">
        <v>47.0</v>
      </c>
      <c r="T268" s="52"/>
    </row>
    <row r="269">
      <c r="B269" s="50"/>
      <c r="C269" s="59"/>
      <c r="D269" s="45"/>
      <c r="E269" s="36">
        <v>42038.0</v>
      </c>
      <c r="F269" t="str">
        <f t="shared" si="2"/>
        <v>2015-02</v>
      </c>
      <c r="H269" s="52"/>
      <c r="I269" s="44"/>
      <c r="J269" s="45">
        <v>64.0</v>
      </c>
      <c r="T269" s="52"/>
    </row>
    <row r="270">
      <c r="B270" s="50"/>
      <c r="C270" s="59"/>
      <c r="D270" s="45"/>
      <c r="E270" s="36">
        <v>42046.0</v>
      </c>
      <c r="F270" t="str">
        <f t="shared" si="2"/>
        <v>2015-02</v>
      </c>
      <c r="H270" s="52"/>
      <c r="I270" s="44"/>
      <c r="J270" s="45">
        <v>44.0</v>
      </c>
      <c r="T270" s="52"/>
    </row>
    <row r="271">
      <c r="B271" s="50"/>
      <c r="C271" s="59"/>
      <c r="D271" s="45"/>
      <c r="E271" s="36">
        <v>42055.0</v>
      </c>
      <c r="F271" t="str">
        <f t="shared" si="2"/>
        <v>2015-02</v>
      </c>
      <c r="H271" s="52"/>
      <c r="I271" s="44"/>
      <c r="J271" s="45">
        <v>51.0</v>
      </c>
      <c r="T271" s="52"/>
    </row>
    <row r="272">
      <c r="B272" s="50"/>
      <c r="C272" s="59"/>
      <c r="D272" s="45"/>
      <c r="E272" s="36">
        <v>42061.0</v>
      </c>
      <c r="F272" t="str">
        <f t="shared" si="2"/>
        <v>2015-02</v>
      </c>
      <c r="H272" s="52"/>
      <c r="I272" s="44"/>
      <c r="J272" s="45">
        <v>41.0</v>
      </c>
      <c r="T272" s="52"/>
    </row>
    <row r="273">
      <c r="B273" s="50"/>
      <c r="C273" s="59"/>
      <c r="D273" s="45"/>
      <c r="E273" s="36">
        <v>42063.0</v>
      </c>
      <c r="F273" t="str">
        <f t="shared" si="2"/>
        <v>2015-02</v>
      </c>
      <c r="H273" s="52"/>
      <c r="I273" s="44"/>
      <c r="J273" s="45">
        <v>19.0</v>
      </c>
      <c r="T273" s="52"/>
    </row>
    <row r="274">
      <c r="B274" s="50"/>
      <c r="C274" s="59"/>
      <c r="D274" s="45"/>
      <c r="E274" s="36">
        <v>42066.0</v>
      </c>
      <c r="F274" t="str">
        <f t="shared" si="2"/>
        <v>2015-03</v>
      </c>
      <c r="H274" s="52"/>
      <c r="I274" s="44"/>
      <c r="J274" s="45">
        <v>10.0</v>
      </c>
      <c r="T274" s="52"/>
    </row>
    <row r="275">
      <c r="B275" s="50"/>
      <c r="C275" s="59"/>
      <c r="D275" s="45"/>
      <c r="E275" s="36">
        <v>42069.0</v>
      </c>
      <c r="F275" t="str">
        <f t="shared" si="2"/>
        <v>2015-03</v>
      </c>
      <c r="H275" s="52"/>
      <c r="I275" s="44"/>
      <c r="J275" s="45">
        <v>58.0</v>
      </c>
      <c r="T275" s="52"/>
    </row>
    <row r="276">
      <c r="B276" s="50"/>
      <c r="C276" s="59"/>
      <c r="D276" s="45"/>
      <c r="E276" s="36">
        <v>42072.0</v>
      </c>
      <c r="F276" t="str">
        <f t="shared" si="2"/>
        <v>2015-03</v>
      </c>
      <c r="H276" s="52"/>
      <c r="I276" s="44"/>
      <c r="J276" s="45">
        <v>16.0</v>
      </c>
      <c r="T276" s="52"/>
    </row>
    <row r="277">
      <c r="B277" s="50"/>
      <c r="C277" s="59"/>
      <c r="D277" s="45"/>
      <c r="E277" s="36">
        <v>42082.0</v>
      </c>
      <c r="F277" t="str">
        <f t="shared" si="2"/>
        <v>2015-03</v>
      </c>
      <c r="H277" s="52"/>
      <c r="I277" s="44"/>
      <c r="J277" s="45">
        <v>59.0</v>
      </c>
      <c r="T277" s="52"/>
    </row>
    <row r="278">
      <c r="B278" s="50"/>
      <c r="C278" s="59"/>
      <c r="D278" s="45"/>
      <c r="E278" s="36">
        <v>42083.0</v>
      </c>
      <c r="F278" t="str">
        <f t="shared" si="2"/>
        <v>2015-03</v>
      </c>
      <c r="H278" s="52"/>
      <c r="I278" s="44"/>
      <c r="J278" s="45">
        <v>8.0</v>
      </c>
      <c r="T278" s="52"/>
    </row>
    <row r="279">
      <c r="B279" s="50"/>
      <c r="C279" s="59"/>
      <c r="D279" s="45"/>
      <c r="E279" s="36">
        <v>42086.0</v>
      </c>
      <c r="F279" t="str">
        <f t="shared" si="2"/>
        <v>2015-03</v>
      </c>
      <c r="H279" s="52"/>
      <c r="I279" s="44"/>
      <c r="J279" s="45">
        <v>21.0</v>
      </c>
      <c r="T279" s="52"/>
    </row>
    <row r="280">
      <c r="B280" s="50"/>
      <c r="C280" s="59"/>
      <c r="D280" s="45"/>
      <c r="E280" s="36">
        <v>42099.0</v>
      </c>
      <c r="F280" t="str">
        <f t="shared" si="2"/>
        <v>2015-04</v>
      </c>
      <c r="H280" s="52"/>
      <c r="I280" s="44"/>
      <c r="J280" s="45">
        <v>37.0</v>
      </c>
      <c r="T280" s="52"/>
    </row>
    <row r="281">
      <c r="B281" s="50"/>
      <c r="C281" s="59"/>
      <c r="D281" s="45"/>
      <c r="E281" s="36">
        <v>42100.0</v>
      </c>
      <c r="F281" t="str">
        <f t="shared" si="2"/>
        <v>2015-04</v>
      </c>
      <c r="H281" s="52"/>
      <c r="I281" s="44"/>
      <c r="J281" s="45">
        <v>39.0</v>
      </c>
      <c r="T281" s="52"/>
    </row>
    <row r="282">
      <c r="B282" s="50"/>
      <c r="C282" s="59"/>
      <c r="D282" s="45"/>
      <c r="E282" s="36">
        <v>42108.0</v>
      </c>
      <c r="F282" t="str">
        <f t="shared" si="2"/>
        <v>2015-04</v>
      </c>
      <c r="H282" s="52"/>
      <c r="I282" s="44"/>
      <c r="J282" s="45">
        <v>37.0</v>
      </c>
      <c r="T282" s="52"/>
    </row>
    <row r="283">
      <c r="B283" s="50"/>
      <c r="C283" s="59"/>
      <c r="D283" s="45"/>
      <c r="E283" s="36">
        <v>42108.0</v>
      </c>
      <c r="F283" t="str">
        <f t="shared" si="2"/>
        <v>2015-04</v>
      </c>
      <c r="H283" s="52"/>
      <c r="I283" s="44"/>
      <c r="J283" s="45">
        <v>3.0</v>
      </c>
      <c r="T283" s="52"/>
    </row>
    <row r="284">
      <c r="B284" s="50"/>
      <c r="C284" s="59"/>
      <c r="D284" s="45"/>
      <c r="E284" s="36">
        <v>42114.0</v>
      </c>
      <c r="F284" t="str">
        <f t="shared" si="2"/>
        <v>2015-04</v>
      </c>
      <c r="H284" s="52"/>
      <c r="I284" s="44"/>
      <c r="J284" s="45">
        <v>39.0</v>
      </c>
      <c r="T284" s="52"/>
    </row>
    <row r="285">
      <c r="B285" s="50"/>
      <c r="C285" s="59"/>
      <c r="D285" s="45"/>
      <c r="E285" s="36">
        <v>42142.0</v>
      </c>
      <c r="F285" t="str">
        <f t="shared" si="2"/>
        <v>2015-05</v>
      </c>
      <c r="H285" s="52"/>
      <c r="I285" s="44"/>
      <c r="J285" s="45">
        <v>3.0</v>
      </c>
      <c r="T285" s="52"/>
    </row>
    <row r="286">
      <c r="B286" s="50"/>
      <c r="C286" s="59"/>
      <c r="D286" s="45"/>
      <c r="E286" s="36">
        <v>42189.0</v>
      </c>
      <c r="F286" t="str">
        <f t="shared" si="2"/>
        <v>2015-07</v>
      </c>
      <c r="H286" s="52"/>
      <c r="I286" s="44"/>
      <c r="J286" s="45">
        <v>0.0</v>
      </c>
      <c r="T286" s="52"/>
    </row>
    <row r="287">
      <c r="B287" s="50"/>
      <c r="C287" s="59"/>
      <c r="D287" s="45"/>
      <c r="E287" s="36">
        <v>42194.0</v>
      </c>
      <c r="F287" t="str">
        <f t="shared" si="2"/>
        <v>2015-07</v>
      </c>
      <c r="H287" s="52"/>
      <c r="I287" s="44"/>
      <c r="J287" s="45">
        <v>0.0</v>
      </c>
      <c r="T287" s="52"/>
    </row>
    <row r="288">
      <c r="B288" s="50"/>
      <c r="C288" s="59"/>
      <c r="D288" s="45"/>
      <c r="E288" s="36">
        <v>42128.0</v>
      </c>
      <c r="F288" t="str">
        <f t="shared" si="2"/>
        <v>2015-05</v>
      </c>
      <c r="H288" s="52"/>
      <c r="I288" s="44"/>
      <c r="J288" s="45">
        <v>77.0</v>
      </c>
      <c r="T288" s="52"/>
    </row>
    <row r="289">
      <c r="B289" s="50"/>
      <c r="C289" s="59"/>
      <c r="D289" s="45"/>
      <c r="E289" s="36">
        <v>42131.0</v>
      </c>
      <c r="F289" t="str">
        <f t="shared" si="2"/>
        <v>2015-05</v>
      </c>
      <c r="H289" s="52"/>
      <c r="I289" s="44"/>
      <c r="J289" s="45">
        <v>19.0</v>
      </c>
      <c r="T289" s="52"/>
    </row>
    <row r="290">
      <c r="B290" s="50"/>
      <c r="C290" s="59"/>
      <c r="D290" s="45"/>
      <c r="E290" s="36">
        <v>42139.0</v>
      </c>
      <c r="F290" t="str">
        <f t="shared" si="2"/>
        <v>2015-05</v>
      </c>
      <c r="H290" s="52"/>
      <c r="I290" s="44"/>
      <c r="J290" s="45">
        <v>24.0</v>
      </c>
      <c r="T290" s="52"/>
    </row>
    <row r="291">
      <c r="B291" s="50"/>
      <c r="C291" s="59"/>
      <c r="D291" s="45"/>
      <c r="E291" s="36">
        <v>42148.0</v>
      </c>
      <c r="F291" t="str">
        <f t="shared" si="2"/>
        <v>2015-05</v>
      </c>
      <c r="H291" s="52"/>
      <c r="I291" s="44"/>
      <c r="J291" s="45">
        <v>34.0</v>
      </c>
      <c r="T291" s="52"/>
    </row>
    <row r="292">
      <c r="B292" s="50"/>
      <c r="C292" s="59"/>
      <c r="D292" s="45"/>
      <c r="E292" s="36">
        <v>42155.0</v>
      </c>
      <c r="F292" t="str">
        <f t="shared" si="2"/>
        <v>2015-05</v>
      </c>
      <c r="H292" s="52"/>
      <c r="I292" s="44"/>
      <c r="J292" s="45">
        <v>28.0</v>
      </c>
      <c r="T292" s="52"/>
    </row>
    <row r="293">
      <c r="B293" s="50"/>
      <c r="C293" s="59"/>
      <c r="D293" s="45"/>
      <c r="E293" s="36">
        <v>42156.0</v>
      </c>
      <c r="F293" t="str">
        <f t="shared" si="2"/>
        <v>2015-06</v>
      </c>
      <c r="H293" s="52"/>
      <c r="I293" s="44"/>
      <c r="J293" s="45">
        <v>5.0</v>
      </c>
      <c r="T293" s="52"/>
    </row>
    <row r="294">
      <c r="B294" s="50"/>
      <c r="C294" s="59"/>
      <c r="D294" s="45"/>
      <c r="E294" s="36">
        <v>42168.0</v>
      </c>
      <c r="F294" t="str">
        <f t="shared" si="2"/>
        <v>2015-06</v>
      </c>
      <c r="H294" s="52"/>
      <c r="I294" s="44"/>
      <c r="J294" s="45">
        <v>89.0</v>
      </c>
      <c r="T294" s="52"/>
    </row>
    <row r="295">
      <c r="B295" s="50"/>
      <c r="C295" s="59"/>
      <c r="D295" s="45"/>
      <c r="E295" s="36">
        <v>42178.0</v>
      </c>
      <c r="F295" t="str">
        <f t="shared" si="2"/>
        <v>2015-06</v>
      </c>
      <c r="H295" s="52"/>
      <c r="I295" s="44"/>
      <c r="J295" s="45">
        <v>47.0</v>
      </c>
      <c r="T295" s="52"/>
    </row>
    <row r="296">
      <c r="B296" s="50"/>
      <c r="C296" s="59"/>
      <c r="D296" s="45"/>
      <c r="E296" s="36">
        <v>42187.0</v>
      </c>
      <c r="F296" t="str">
        <f t="shared" si="2"/>
        <v>2015-07</v>
      </c>
      <c r="H296" s="52"/>
      <c r="I296" s="44"/>
      <c r="J296" s="45">
        <v>42.0</v>
      </c>
      <c r="T296" s="52"/>
    </row>
    <row r="297">
      <c r="B297" s="50"/>
      <c r="C297" s="59"/>
      <c r="D297" s="45"/>
      <c r="E297" s="36">
        <v>42189.0</v>
      </c>
      <c r="F297" t="str">
        <f t="shared" si="2"/>
        <v>2015-07</v>
      </c>
      <c r="H297" s="52"/>
      <c r="I297" s="44"/>
      <c r="J297" s="45">
        <v>5.0</v>
      </c>
      <c r="T297" s="52"/>
    </row>
    <row r="298">
      <c r="B298" s="50"/>
      <c r="C298" s="59"/>
      <c r="D298" s="45"/>
      <c r="E298" s="36">
        <v>42194.0</v>
      </c>
      <c r="F298" t="str">
        <f t="shared" si="2"/>
        <v>2015-07</v>
      </c>
      <c r="H298" s="52"/>
      <c r="I298" s="44"/>
      <c r="J298" s="45">
        <v>17.0</v>
      </c>
      <c r="T298" s="52"/>
    </row>
    <row r="299">
      <c r="B299" s="50"/>
      <c r="C299" s="59"/>
      <c r="D299" s="45"/>
      <c r="E299" s="36">
        <v>42202.0</v>
      </c>
      <c r="F299" t="str">
        <f t="shared" si="2"/>
        <v>2015-07</v>
      </c>
      <c r="H299" s="52"/>
      <c r="I299" s="44"/>
      <c r="J299" s="45">
        <v>26.0</v>
      </c>
      <c r="T299" s="52"/>
    </row>
    <row r="300">
      <c r="B300" s="50"/>
      <c r="C300" s="59"/>
      <c r="D300" s="45"/>
      <c r="E300" s="36">
        <v>42213.0</v>
      </c>
      <c r="F300" t="str">
        <f t="shared" si="2"/>
        <v>2015-07</v>
      </c>
      <c r="H300" s="52"/>
      <c r="I300" s="44"/>
      <c r="J300" s="45">
        <v>43.0</v>
      </c>
      <c r="T300" s="52"/>
    </row>
    <row r="301">
      <c r="B301" s="50"/>
      <c r="C301" s="59"/>
      <c r="D301" s="45"/>
      <c r="E301" s="36">
        <v>42185.0</v>
      </c>
      <c r="F301" t="str">
        <f t="shared" si="2"/>
        <v>2015-06</v>
      </c>
      <c r="H301" s="52"/>
      <c r="I301" s="44"/>
      <c r="J301" s="45">
        <v>0.0</v>
      </c>
      <c r="T301" s="52"/>
    </row>
    <row r="302">
      <c r="B302" s="50"/>
      <c r="C302" s="59"/>
      <c r="D302" s="45"/>
      <c r="E302" s="36">
        <v>42187.0</v>
      </c>
      <c r="F302" t="str">
        <f t="shared" si="2"/>
        <v>2015-07</v>
      </c>
      <c r="H302" s="52"/>
      <c r="I302" s="44"/>
      <c r="J302" s="45">
        <v>0.0</v>
      </c>
      <c r="T302" s="52"/>
    </row>
    <row r="303">
      <c r="B303" s="50"/>
      <c r="C303" s="59"/>
      <c r="D303" s="45"/>
      <c r="E303" s="36">
        <v>42198.0</v>
      </c>
      <c r="F303" t="str">
        <f t="shared" si="2"/>
        <v>2015-07</v>
      </c>
      <c r="H303" s="52"/>
      <c r="I303" s="44"/>
      <c r="J303" s="45">
        <v>70.0</v>
      </c>
      <c r="T303" s="52"/>
    </row>
    <row r="304">
      <c r="B304" s="50"/>
      <c r="C304" s="59"/>
      <c r="D304" s="45"/>
      <c r="E304" s="36">
        <v>42207.0</v>
      </c>
      <c r="F304" t="str">
        <f t="shared" si="2"/>
        <v>2015-07</v>
      </c>
      <c r="H304" s="52"/>
      <c r="I304" s="44"/>
      <c r="J304" s="45">
        <v>32.0</v>
      </c>
      <c r="T304" s="52"/>
    </row>
    <row r="305">
      <c r="B305" s="50"/>
      <c r="C305" s="59"/>
      <c r="D305" s="45"/>
      <c r="E305" s="36">
        <v>42209.0</v>
      </c>
      <c r="F305" t="str">
        <f t="shared" si="2"/>
        <v>2015-07</v>
      </c>
      <c r="H305" s="52"/>
      <c r="I305" s="44"/>
      <c r="J305" s="45">
        <v>6.0</v>
      </c>
      <c r="T305" s="52"/>
    </row>
    <row r="306">
      <c r="B306" s="50"/>
      <c r="C306" s="59"/>
      <c r="D306" s="45"/>
      <c r="E306" s="36">
        <v>42215.0</v>
      </c>
      <c r="F306" t="str">
        <f t="shared" si="2"/>
        <v>2015-07</v>
      </c>
      <c r="H306" s="52"/>
      <c r="I306" s="44"/>
      <c r="J306" s="45">
        <v>32.0</v>
      </c>
      <c r="T306" s="52"/>
    </row>
    <row r="307">
      <c r="B307" s="50"/>
      <c r="C307" s="59"/>
      <c r="D307" s="45"/>
      <c r="E307" s="36">
        <v>42219.0</v>
      </c>
      <c r="F307" t="str">
        <f t="shared" si="2"/>
        <v>2015-08</v>
      </c>
      <c r="H307" s="52"/>
      <c r="I307" s="44"/>
      <c r="J307" s="45">
        <v>7.0</v>
      </c>
      <c r="T307" s="52"/>
    </row>
    <row r="308">
      <c r="B308" s="50"/>
      <c r="C308" s="59"/>
      <c r="D308" s="45"/>
      <c r="E308" s="36">
        <v>42220.0</v>
      </c>
      <c r="F308" t="str">
        <f t="shared" si="2"/>
        <v>2015-08</v>
      </c>
      <c r="H308" s="52"/>
      <c r="I308" s="44"/>
      <c r="J308" s="45">
        <v>55.0</v>
      </c>
      <c r="T308" s="52"/>
    </row>
    <row r="309">
      <c r="B309" s="50"/>
      <c r="C309" s="59"/>
      <c r="D309" s="45"/>
      <c r="E309" s="36">
        <v>42235.0</v>
      </c>
      <c r="F309" t="str">
        <f t="shared" si="2"/>
        <v>2015-08</v>
      </c>
      <c r="H309" s="52"/>
      <c r="I309" s="44"/>
      <c r="J309" s="45">
        <v>1.0</v>
      </c>
      <c r="T309" s="52"/>
    </row>
    <row r="310">
      <c r="B310" s="50"/>
      <c r="C310" s="59"/>
      <c r="D310" s="45"/>
      <c r="E310" s="36">
        <v>42241.0</v>
      </c>
      <c r="F310" t="str">
        <f t="shared" si="2"/>
        <v>2015-08</v>
      </c>
      <c r="H310" s="52"/>
      <c r="I310" s="44"/>
      <c r="J310" s="45">
        <v>0.0</v>
      </c>
      <c r="T310" s="52"/>
    </row>
    <row r="311">
      <c r="B311" s="50"/>
      <c r="C311" s="59"/>
      <c r="D311" s="45"/>
      <c r="E311" s="36">
        <v>42249.0</v>
      </c>
      <c r="F311" t="str">
        <f t="shared" si="2"/>
        <v>2015-09</v>
      </c>
      <c r="H311" s="52"/>
      <c r="I311" s="44"/>
      <c r="J311" s="45">
        <v>0.0</v>
      </c>
      <c r="T311" s="52"/>
    </row>
    <row r="312">
      <c r="B312" s="50"/>
      <c r="C312" s="59"/>
      <c r="D312" s="45"/>
      <c r="E312" s="36">
        <v>42262.0</v>
      </c>
      <c r="F312" t="str">
        <f t="shared" si="2"/>
        <v>2015-09</v>
      </c>
      <c r="H312" s="52"/>
      <c r="I312" s="44"/>
      <c r="J312" s="45">
        <v>0.0</v>
      </c>
      <c r="T312" s="52"/>
    </row>
    <row r="313">
      <c r="B313" s="50"/>
      <c r="C313" s="59"/>
      <c r="D313" s="45"/>
      <c r="E313" s="36">
        <v>42253.0</v>
      </c>
      <c r="F313" t="str">
        <f t="shared" si="2"/>
        <v>2015-09</v>
      </c>
      <c r="H313" s="52"/>
      <c r="I313" s="44"/>
      <c r="J313" s="45">
        <v>147.0</v>
      </c>
      <c r="T313" s="52"/>
    </row>
    <row r="314">
      <c r="B314" s="50"/>
      <c r="C314" s="59"/>
      <c r="D314" s="45"/>
      <c r="E314" s="36">
        <v>42254.0</v>
      </c>
      <c r="F314" t="str">
        <f t="shared" si="2"/>
        <v>2015-09</v>
      </c>
      <c r="H314" s="52"/>
      <c r="I314" s="44"/>
      <c r="J314" s="45">
        <v>0.0</v>
      </c>
      <c r="T314" s="52"/>
    </row>
    <row r="315">
      <c r="B315" s="50"/>
      <c r="C315" s="59"/>
      <c r="D315" s="45"/>
      <c r="E315" s="36">
        <v>42255.0</v>
      </c>
      <c r="F315" t="str">
        <f t="shared" si="2"/>
        <v>2015-09</v>
      </c>
      <c r="H315" s="52"/>
      <c r="I315" s="44"/>
      <c r="J315" s="45">
        <v>0.0</v>
      </c>
      <c r="T315" s="52"/>
    </row>
    <row r="316">
      <c r="B316" s="50"/>
      <c r="C316" s="59"/>
      <c r="D316" s="45"/>
      <c r="E316" s="36">
        <v>42255.0</v>
      </c>
      <c r="F316" t="str">
        <f t="shared" si="2"/>
        <v>2015-09</v>
      </c>
      <c r="H316" s="52"/>
      <c r="I316" s="44"/>
      <c r="J316" s="45">
        <v>0.0</v>
      </c>
      <c r="T316" s="52"/>
    </row>
    <row r="317">
      <c r="B317" s="50"/>
      <c r="C317" s="59"/>
      <c r="D317" s="45"/>
      <c r="E317" s="36">
        <v>42255.0</v>
      </c>
      <c r="F317" t="str">
        <f t="shared" si="2"/>
        <v>2015-09</v>
      </c>
      <c r="H317" s="52"/>
      <c r="I317" s="44"/>
      <c r="J317" s="45">
        <v>0.0</v>
      </c>
      <c r="T317" s="52"/>
    </row>
    <row r="318">
      <c r="B318" s="50"/>
      <c r="C318" s="59"/>
      <c r="D318" s="45"/>
      <c r="E318" s="36">
        <v>42255.0</v>
      </c>
      <c r="F318" t="str">
        <f t="shared" si="2"/>
        <v>2015-09</v>
      </c>
      <c r="H318" s="52"/>
      <c r="I318" s="44"/>
      <c r="J318" s="45">
        <v>0.0</v>
      </c>
      <c r="T318" s="52"/>
    </row>
    <row r="319">
      <c r="B319" s="50"/>
      <c r="C319" s="59"/>
      <c r="D319" s="45"/>
      <c r="E319" s="36">
        <v>42264.0</v>
      </c>
      <c r="F319" t="str">
        <f t="shared" si="2"/>
        <v>2015-09</v>
      </c>
      <c r="H319" s="52"/>
      <c r="I319" s="44"/>
      <c r="J319" s="45">
        <v>0.0</v>
      </c>
      <c r="T319" s="52"/>
    </row>
    <row r="320">
      <c r="B320" s="50"/>
      <c r="C320" s="59"/>
      <c r="D320" s="45"/>
      <c r="E320" s="36">
        <v>42270.0</v>
      </c>
      <c r="F320" t="str">
        <f t="shared" si="2"/>
        <v>2015-09</v>
      </c>
      <c r="H320" s="52"/>
      <c r="I320" s="44"/>
      <c r="J320" s="45">
        <v>0.0</v>
      </c>
      <c r="T320" s="52"/>
    </row>
    <row r="321">
      <c r="B321" s="50"/>
      <c r="C321" s="59"/>
      <c r="D321" s="45"/>
      <c r="E321" s="36">
        <v>42282.0</v>
      </c>
      <c r="F321" t="str">
        <f t="shared" si="2"/>
        <v>2015-10</v>
      </c>
      <c r="H321" s="52"/>
      <c r="I321" s="44"/>
      <c r="J321" s="45">
        <v>0.0</v>
      </c>
      <c r="T321" s="52"/>
    </row>
    <row r="322">
      <c r="B322" s="50"/>
      <c r="C322" s="59"/>
      <c r="D322" s="45"/>
      <c r="E322" s="36">
        <v>42289.0</v>
      </c>
      <c r="F322" t="str">
        <f t="shared" si="2"/>
        <v>2015-10</v>
      </c>
      <c r="H322" s="52"/>
      <c r="I322" s="44"/>
      <c r="J322" s="45">
        <v>0.0</v>
      </c>
      <c r="T322" s="52"/>
    </row>
    <row r="323">
      <c r="B323" s="50"/>
      <c r="C323" s="59"/>
      <c r="D323" s="45"/>
      <c r="E323" s="36">
        <v>42290.0</v>
      </c>
      <c r="F323" t="str">
        <f t="shared" si="2"/>
        <v>2015-10</v>
      </c>
      <c r="H323" s="52"/>
      <c r="I323" s="44"/>
      <c r="J323" s="45">
        <v>0.0</v>
      </c>
      <c r="T323" s="52"/>
    </row>
    <row r="324">
      <c r="B324" s="50"/>
      <c r="C324" s="59"/>
      <c r="D324" s="45"/>
      <c r="E324" s="36">
        <v>42306.0</v>
      </c>
      <c r="F324" t="str">
        <f t="shared" si="2"/>
        <v>2015-10</v>
      </c>
      <c r="H324" s="52"/>
      <c r="I324" s="44"/>
      <c r="J324" s="45">
        <v>0.0</v>
      </c>
      <c r="T324" s="52"/>
    </row>
    <row r="325">
      <c r="B325" s="50"/>
      <c r="C325" s="59"/>
      <c r="D325" s="45"/>
      <c r="E325" s="36">
        <v>42310.0</v>
      </c>
      <c r="F325" t="str">
        <f t="shared" si="2"/>
        <v>2015-11</v>
      </c>
      <c r="H325" s="52"/>
      <c r="I325" s="44"/>
      <c r="J325" s="45">
        <v>0.0</v>
      </c>
      <c r="T325" s="52"/>
    </row>
    <row r="326">
      <c r="B326" s="50"/>
      <c r="C326" s="59"/>
      <c r="D326" s="45"/>
      <c r="E326" s="36">
        <v>42311.0</v>
      </c>
      <c r="F326" t="str">
        <f t="shared" si="2"/>
        <v>2015-11</v>
      </c>
      <c r="H326" s="52"/>
      <c r="I326" s="44"/>
      <c r="J326" s="45">
        <v>0.0</v>
      </c>
      <c r="T326" s="52"/>
    </row>
    <row r="327">
      <c r="B327" s="50"/>
      <c r="C327" s="59"/>
      <c r="D327" s="45"/>
      <c r="E327" s="36">
        <v>42342.0</v>
      </c>
      <c r="F327" t="str">
        <f t="shared" si="2"/>
        <v>2015-12</v>
      </c>
      <c r="H327" s="52"/>
      <c r="I327" s="44"/>
      <c r="J327" s="45">
        <v>0.0</v>
      </c>
      <c r="T327" s="52"/>
    </row>
    <row r="328">
      <c r="B328" s="50"/>
      <c r="C328" s="59"/>
      <c r="D328" s="45"/>
      <c r="E328" s="36">
        <v>42359.0</v>
      </c>
      <c r="F328" t="str">
        <f t="shared" si="2"/>
        <v>2015-12</v>
      </c>
      <c r="H328" s="52"/>
      <c r="I328" s="44"/>
      <c r="J328" s="45">
        <v>0.0</v>
      </c>
      <c r="T328" s="52"/>
    </row>
    <row r="329">
      <c r="B329" s="50"/>
      <c r="C329" s="59"/>
      <c r="D329" s="45"/>
      <c r="E329" s="36">
        <v>42361.0</v>
      </c>
      <c r="F329" t="str">
        <f t="shared" si="2"/>
        <v>2015-12</v>
      </c>
      <c r="H329" s="52"/>
      <c r="I329" s="44"/>
      <c r="J329" s="45">
        <v>0.0</v>
      </c>
      <c r="T329" s="52"/>
    </row>
    <row r="330">
      <c r="B330" s="50"/>
      <c r="C330" s="59"/>
      <c r="D330" s="45"/>
      <c r="E330" s="36">
        <v>42389.0</v>
      </c>
      <c r="F330" t="str">
        <f t="shared" si="2"/>
        <v>2016-01</v>
      </c>
      <c r="H330" s="52"/>
      <c r="I330" s="44"/>
      <c r="J330" s="45">
        <v>0.0</v>
      </c>
      <c r="T330" s="52"/>
    </row>
    <row r="331">
      <c r="B331" s="50"/>
      <c r="C331" s="59"/>
      <c r="D331" s="45"/>
      <c r="E331" s="36">
        <v>42390.0</v>
      </c>
      <c r="F331" t="str">
        <f t="shared" si="2"/>
        <v>2016-01</v>
      </c>
      <c r="H331" s="52"/>
      <c r="I331" s="44"/>
      <c r="J331" s="45">
        <v>0.0</v>
      </c>
      <c r="T331" s="52"/>
    </row>
    <row r="332">
      <c r="B332" s="50"/>
      <c r="C332" s="59"/>
      <c r="D332" s="45"/>
      <c r="E332" s="36">
        <v>42409.0</v>
      </c>
      <c r="F332" t="str">
        <f t="shared" si="2"/>
        <v>2016-02</v>
      </c>
      <c r="H332" s="52"/>
      <c r="I332" s="44"/>
      <c r="J332" s="45">
        <v>0.0</v>
      </c>
      <c r="T332" s="52"/>
    </row>
    <row r="333">
      <c r="B333" s="50"/>
      <c r="C333" s="59"/>
      <c r="D333" s="45"/>
      <c r="E333" s="36">
        <v>42412.0</v>
      </c>
      <c r="F333" t="str">
        <f t="shared" si="2"/>
        <v>2016-02</v>
      </c>
      <c r="H333" s="52"/>
      <c r="I333" s="44"/>
      <c r="J333" s="45">
        <v>0.0</v>
      </c>
      <c r="T333" s="52"/>
    </row>
    <row r="334">
      <c r="B334" s="50"/>
      <c r="C334" s="59"/>
      <c r="D334" s="45"/>
      <c r="E334" s="36">
        <v>42415.0</v>
      </c>
      <c r="F334" t="str">
        <f t="shared" si="2"/>
        <v>2016-02</v>
      </c>
      <c r="H334" s="52"/>
      <c r="I334" s="44"/>
      <c r="J334" s="45">
        <v>0.0</v>
      </c>
      <c r="T334" s="52"/>
    </row>
    <row r="335">
      <c r="B335" s="50"/>
      <c r="C335" s="59"/>
      <c r="D335" s="45"/>
      <c r="E335" s="36">
        <v>42417.0</v>
      </c>
      <c r="F335" t="str">
        <f t="shared" si="2"/>
        <v>2016-02</v>
      </c>
      <c r="H335" s="52"/>
      <c r="I335" s="44"/>
      <c r="J335" s="45">
        <v>0.0</v>
      </c>
      <c r="T335" s="52"/>
    </row>
    <row r="336">
      <c r="B336" s="50"/>
      <c r="C336" s="59"/>
      <c r="D336" s="45"/>
      <c r="E336" s="36">
        <v>42431.0</v>
      </c>
      <c r="F336" t="str">
        <f t="shared" si="2"/>
        <v>2016-03</v>
      </c>
      <c r="H336" s="52"/>
      <c r="I336" s="44"/>
      <c r="J336" s="45">
        <v>0.0</v>
      </c>
      <c r="T336" s="52"/>
    </row>
    <row r="337">
      <c r="B337" s="50"/>
      <c r="C337" s="59"/>
      <c r="D337" s="45"/>
      <c r="E337" s="36">
        <v>42418.0</v>
      </c>
      <c r="F337" t="str">
        <f t="shared" si="2"/>
        <v>2016-02</v>
      </c>
      <c r="H337" s="52"/>
      <c r="I337" s="44"/>
      <c r="J337" s="45">
        <v>0.0</v>
      </c>
      <c r="T337" s="52"/>
    </row>
    <row r="338">
      <c r="B338" s="50"/>
      <c r="C338" s="59"/>
      <c r="D338" s="45"/>
      <c r="E338" s="36">
        <v>42423.0</v>
      </c>
      <c r="F338" t="str">
        <f t="shared" si="2"/>
        <v>2016-02</v>
      </c>
      <c r="H338" s="52"/>
      <c r="I338" s="44"/>
      <c r="J338" s="45">
        <v>0.0</v>
      </c>
      <c r="T338" s="52"/>
    </row>
    <row r="339">
      <c r="B339" s="50"/>
      <c r="C339" s="59"/>
      <c r="D339" s="45"/>
      <c r="E339" s="36">
        <v>42432.0</v>
      </c>
      <c r="F339" t="str">
        <f t="shared" si="2"/>
        <v>2016-03</v>
      </c>
      <c r="H339" s="52"/>
      <c r="I339" s="44"/>
      <c r="J339" s="45">
        <v>0.0</v>
      </c>
      <c r="T339" s="52"/>
    </row>
    <row r="340">
      <c r="B340" s="50"/>
      <c r="C340" s="59"/>
      <c r="D340" s="45"/>
      <c r="E340" s="36">
        <v>42432.0</v>
      </c>
      <c r="F340" t="str">
        <f t="shared" si="2"/>
        <v>2016-03</v>
      </c>
      <c r="H340" s="52"/>
      <c r="I340" s="44"/>
      <c r="J340" s="45">
        <v>0.0</v>
      </c>
      <c r="T340" s="52"/>
    </row>
    <row r="341">
      <c r="B341" s="50"/>
      <c r="C341" s="59"/>
      <c r="D341" s="45"/>
      <c r="E341" s="36">
        <v>42438.0</v>
      </c>
      <c r="F341" t="str">
        <f t="shared" si="2"/>
        <v>2016-03</v>
      </c>
      <c r="H341" s="52"/>
      <c r="I341" s="44"/>
      <c r="J341" s="45">
        <v>0.0</v>
      </c>
      <c r="T341" s="52"/>
    </row>
    <row r="342">
      <c r="B342" s="50"/>
      <c r="C342" s="59"/>
      <c r="D342" s="45"/>
      <c r="E342" s="36">
        <v>42451.0</v>
      </c>
      <c r="F342" t="str">
        <f t="shared" si="2"/>
        <v>2016-03</v>
      </c>
      <c r="H342" s="52"/>
      <c r="I342" s="44"/>
      <c r="J342" s="45">
        <v>0.0</v>
      </c>
      <c r="T342" s="52"/>
    </row>
    <row r="343">
      <c r="B343" s="50"/>
      <c r="C343" s="59"/>
      <c r="D343" s="45"/>
      <c r="E343" s="36">
        <v>42461.0</v>
      </c>
      <c r="F343" t="str">
        <f t="shared" si="2"/>
        <v>2016-04</v>
      </c>
      <c r="H343" s="52"/>
      <c r="I343" s="44"/>
      <c r="J343" s="45">
        <v>0.0</v>
      </c>
      <c r="T343" s="52"/>
    </row>
    <row r="344">
      <c r="B344" s="50"/>
      <c r="C344" s="59"/>
      <c r="D344" s="45"/>
      <c r="E344" s="36">
        <v>42472.0</v>
      </c>
      <c r="F344" t="str">
        <f t="shared" si="2"/>
        <v>2016-04</v>
      </c>
      <c r="H344" s="52"/>
      <c r="I344" s="44"/>
      <c r="J344" s="45">
        <v>0.0</v>
      </c>
      <c r="T344" s="52"/>
    </row>
    <row r="345">
      <c r="B345" s="50"/>
      <c r="C345" s="59"/>
      <c r="D345" s="45"/>
      <c r="E345" s="36">
        <v>42496.0</v>
      </c>
      <c r="F345" t="str">
        <f t="shared" si="2"/>
        <v>2016-05</v>
      </c>
      <c r="H345" s="52"/>
      <c r="I345" s="44"/>
      <c r="J345" s="45">
        <v>0.0</v>
      </c>
      <c r="T345" s="52"/>
    </row>
    <row r="346">
      <c r="B346" s="50"/>
      <c r="C346" s="59"/>
      <c r="D346" s="45"/>
      <c r="E346" s="36">
        <v>42514.0</v>
      </c>
      <c r="F346" t="str">
        <f t="shared" si="2"/>
        <v>2016-05</v>
      </c>
      <c r="H346" s="52"/>
      <c r="I346" s="44"/>
      <c r="J346" s="45">
        <v>0.0</v>
      </c>
      <c r="T346" s="52"/>
    </row>
    <row r="347">
      <c r="B347" s="50"/>
      <c r="C347" s="59"/>
      <c r="D347" s="45"/>
      <c r="E347" s="36">
        <v>42544.0</v>
      </c>
      <c r="F347" t="str">
        <f t="shared" si="2"/>
        <v>2016-06</v>
      </c>
      <c r="H347" s="52"/>
      <c r="I347" s="44"/>
      <c r="J347" s="45">
        <v>0.0</v>
      </c>
      <c r="T347" s="52"/>
    </row>
    <row r="348">
      <c r="B348" s="50"/>
      <c r="C348" s="59"/>
      <c r="D348" s="45"/>
      <c r="E348" s="36">
        <v>42549.0</v>
      </c>
      <c r="F348" t="str">
        <f t="shared" si="2"/>
        <v>2016-06</v>
      </c>
      <c r="H348" s="52"/>
      <c r="I348" s="44"/>
      <c r="J348" s="45">
        <v>0.0</v>
      </c>
      <c r="T348" s="52"/>
    </row>
    <row r="349">
      <c r="B349" s="50"/>
      <c r="C349" s="59"/>
      <c r="D349" s="45"/>
      <c r="E349" s="36">
        <v>42598.0</v>
      </c>
      <c r="F349" t="str">
        <f t="shared" si="2"/>
        <v>2016-08</v>
      </c>
      <c r="H349" s="52"/>
      <c r="I349" s="44"/>
      <c r="J349" s="45">
        <v>0.0</v>
      </c>
      <c r="T349" s="52"/>
    </row>
    <row r="350">
      <c r="B350" s="50"/>
      <c r="C350" s="59"/>
      <c r="D350" s="45"/>
      <c r="E350" s="36">
        <v>42641.0</v>
      </c>
      <c r="F350" t="str">
        <f t="shared" si="2"/>
        <v>2016-09</v>
      </c>
      <c r="H350" s="52"/>
      <c r="I350" s="44"/>
      <c r="J350" s="45">
        <v>0.0</v>
      </c>
      <c r="T350" s="52"/>
    </row>
    <row r="351">
      <c r="B351" s="50"/>
      <c r="C351" s="59"/>
      <c r="D351" s="45"/>
      <c r="E351" s="36">
        <v>42661.0</v>
      </c>
      <c r="F351" t="str">
        <f t="shared" si="2"/>
        <v>2016-10</v>
      </c>
      <c r="H351" s="52"/>
      <c r="I351" s="44"/>
      <c r="J351" s="45">
        <v>0.0</v>
      </c>
      <c r="T351" s="52"/>
    </row>
    <row r="352">
      <c r="B352" s="50"/>
      <c r="C352" s="59"/>
      <c r="D352" s="45"/>
      <c r="E352" s="36">
        <v>42682.0</v>
      </c>
      <c r="F352" t="str">
        <f t="shared" si="2"/>
        <v>2016-11</v>
      </c>
      <c r="H352" s="52"/>
      <c r="I352" s="44"/>
      <c r="J352" s="45">
        <v>0.0</v>
      </c>
      <c r="T352" s="52"/>
    </row>
    <row r="353">
      <c r="B353" s="50"/>
      <c r="C353" s="59"/>
      <c r="D353" s="45"/>
      <c r="E353" s="36">
        <v>42710.0</v>
      </c>
      <c r="F353" t="str">
        <f t="shared" si="2"/>
        <v>2016-12</v>
      </c>
      <c r="H353" s="52"/>
      <c r="I353" s="44"/>
      <c r="J353" s="45">
        <v>0.0</v>
      </c>
      <c r="T353" s="52"/>
    </row>
    <row r="354">
      <c r="B354" s="50"/>
      <c r="C354" s="59"/>
      <c r="D354" s="45"/>
      <c r="E354" s="36">
        <v>42738.0</v>
      </c>
      <c r="F354" t="str">
        <f t="shared" si="2"/>
        <v>2017-01</v>
      </c>
      <c r="H354" s="52"/>
      <c r="I354" s="44"/>
      <c r="J354" s="45">
        <v>0.0</v>
      </c>
      <c r="T354" s="52"/>
    </row>
    <row r="355">
      <c r="B355" s="50"/>
      <c r="C355" s="59"/>
      <c r="D355" s="45"/>
      <c r="E355" s="36">
        <v>42740.0</v>
      </c>
      <c r="F355" t="str">
        <f t="shared" si="2"/>
        <v>2017-01</v>
      </c>
      <c r="H355" s="52"/>
      <c r="I355" s="44"/>
      <c r="J355" s="45">
        <v>0.0</v>
      </c>
      <c r="T355" s="52"/>
    </row>
    <row r="356">
      <c r="B356" s="50"/>
      <c r="C356" s="59"/>
      <c r="D356" s="45"/>
      <c r="E356" s="36">
        <v>42767.0</v>
      </c>
      <c r="F356" t="str">
        <f t="shared" si="2"/>
        <v>2017-02</v>
      </c>
      <c r="H356" s="52"/>
      <c r="I356" s="44"/>
      <c r="J356" s="45">
        <v>0.0</v>
      </c>
      <c r="T356" s="52"/>
    </row>
    <row r="357">
      <c r="B357" s="50"/>
      <c r="C357" s="59"/>
      <c r="D357" s="45"/>
      <c r="E357" s="36">
        <v>42788.0</v>
      </c>
      <c r="F357" t="str">
        <f t="shared" si="2"/>
        <v>2017-02</v>
      </c>
      <c r="H357" s="52"/>
      <c r="I357" s="44"/>
      <c r="J357" s="45">
        <v>0.0</v>
      </c>
      <c r="T357" s="52"/>
    </row>
    <row r="358">
      <c r="B358" s="50"/>
      <c r="C358" s="59"/>
      <c r="D358" s="45"/>
      <c r="E358" s="36">
        <v>42815.0</v>
      </c>
      <c r="F358" t="str">
        <f t="shared" si="2"/>
        <v>2017-03</v>
      </c>
      <c r="H358" s="52"/>
      <c r="I358" s="44"/>
      <c r="J358" s="45">
        <v>0.0</v>
      </c>
      <c r="T358" s="52"/>
    </row>
    <row r="359">
      <c r="B359" s="50"/>
      <c r="C359" s="59"/>
      <c r="D359" s="45"/>
      <c r="E359" s="36">
        <v>42829.0</v>
      </c>
      <c r="F359" t="str">
        <f t="shared" si="2"/>
        <v>2017-04</v>
      </c>
      <c r="H359" s="52"/>
      <c r="I359" s="44"/>
      <c r="J359" s="45">
        <v>0.0</v>
      </c>
      <c r="T359" s="52"/>
    </row>
    <row r="360">
      <c r="B360" s="50"/>
      <c r="C360" s="59"/>
      <c r="D360" s="45"/>
      <c r="E360" s="36">
        <v>42857.0</v>
      </c>
      <c r="F360" t="str">
        <f t="shared" si="2"/>
        <v>2017-05</v>
      </c>
      <c r="H360" s="52"/>
      <c r="I360" s="44"/>
      <c r="J360" s="45">
        <v>0.0</v>
      </c>
      <c r="T360" s="52"/>
    </row>
    <row r="361">
      <c r="B361" s="50"/>
      <c r="C361" s="59"/>
      <c r="D361" s="45"/>
      <c r="E361" s="36">
        <v>42927.0</v>
      </c>
      <c r="F361" t="str">
        <f t="shared" si="2"/>
        <v>2017-07</v>
      </c>
      <c r="H361" s="52"/>
      <c r="I361" s="44"/>
      <c r="J361" s="45">
        <v>0.0</v>
      </c>
      <c r="T361" s="52"/>
    </row>
    <row r="362">
      <c r="B362" s="50"/>
      <c r="C362" s="59"/>
      <c r="D362" s="45"/>
      <c r="E362" s="36">
        <v>42304.0</v>
      </c>
      <c r="F362" t="str">
        <f t="shared" si="2"/>
        <v>2015-10</v>
      </c>
      <c r="H362" s="52"/>
      <c r="I362" s="44"/>
      <c r="J362" s="45">
        <v>291.0</v>
      </c>
      <c r="T362" s="52"/>
    </row>
    <row r="363">
      <c r="B363" s="50"/>
      <c r="C363" s="59"/>
      <c r="D363" s="45"/>
      <c r="E363" s="36">
        <v>42306.0</v>
      </c>
      <c r="F363" t="str">
        <f t="shared" si="2"/>
        <v>2015-10</v>
      </c>
      <c r="H363" s="52"/>
      <c r="I363" s="44"/>
      <c r="J363" s="45">
        <v>0.0</v>
      </c>
      <c r="T363" s="52"/>
    </row>
    <row r="364">
      <c r="B364" s="50"/>
      <c r="C364" s="59"/>
      <c r="D364" s="45"/>
      <c r="E364" s="36">
        <v>42306.0</v>
      </c>
      <c r="F364" t="str">
        <f t="shared" si="2"/>
        <v>2015-10</v>
      </c>
      <c r="H364" s="52"/>
      <c r="I364" s="44"/>
      <c r="J364" s="45">
        <v>0.0</v>
      </c>
      <c r="T364" s="52"/>
    </row>
    <row r="365">
      <c r="B365" s="50"/>
      <c r="C365" s="59"/>
      <c r="D365" s="45"/>
      <c r="E365" s="36">
        <v>42325.0</v>
      </c>
      <c r="F365" t="str">
        <f t="shared" si="2"/>
        <v>2015-11</v>
      </c>
      <c r="H365" s="52"/>
      <c r="I365" s="44"/>
      <c r="J365" s="45">
        <v>0.0</v>
      </c>
      <c r="T365" s="52"/>
    </row>
    <row r="366">
      <c r="B366" s="50"/>
      <c r="C366" s="59"/>
      <c r="D366" s="45"/>
      <c r="E366" s="36">
        <v>42342.0</v>
      </c>
      <c r="F366" t="str">
        <f t="shared" si="2"/>
        <v>2015-12</v>
      </c>
      <c r="H366" s="52"/>
      <c r="I366" s="44"/>
      <c r="J366" s="45">
        <v>0.0</v>
      </c>
      <c r="T366" s="52"/>
    </row>
    <row r="367">
      <c r="B367" s="50"/>
      <c r="C367" s="59"/>
      <c r="D367" s="45"/>
      <c r="E367" s="36">
        <v>42347.0</v>
      </c>
      <c r="F367" t="str">
        <f t="shared" si="2"/>
        <v>2015-12</v>
      </c>
      <c r="H367" s="52"/>
      <c r="I367" s="44"/>
      <c r="J367" s="45">
        <v>0.0</v>
      </c>
      <c r="T367" s="52"/>
    </row>
    <row r="368">
      <c r="B368" s="50"/>
      <c r="C368" s="59"/>
      <c r="D368" s="45"/>
      <c r="E368" s="36">
        <v>42354.0</v>
      </c>
      <c r="F368" t="str">
        <f t="shared" si="2"/>
        <v>2015-12</v>
      </c>
      <c r="H368" s="52"/>
      <c r="I368" s="44"/>
      <c r="J368" s="45">
        <v>0.0</v>
      </c>
      <c r="T368" s="52"/>
    </row>
    <row r="369">
      <c r="B369" s="50"/>
      <c r="C369" s="59"/>
      <c r="D369" s="45"/>
      <c r="E369" s="36">
        <v>42375.0</v>
      </c>
      <c r="F369" t="str">
        <f t="shared" si="2"/>
        <v>2016-01</v>
      </c>
      <c r="H369" s="52"/>
      <c r="I369" s="44"/>
      <c r="J369" s="45">
        <v>0.0</v>
      </c>
      <c r="T369" s="52"/>
    </row>
    <row r="370">
      <c r="B370" s="50"/>
      <c r="C370" s="59"/>
      <c r="D370" s="45"/>
      <c r="E370" s="36">
        <v>42381.0</v>
      </c>
      <c r="F370" t="str">
        <f t="shared" si="2"/>
        <v>2016-01</v>
      </c>
      <c r="H370" s="52"/>
      <c r="I370" s="44"/>
      <c r="J370" s="45">
        <v>0.0</v>
      </c>
      <c r="T370" s="52"/>
    </row>
    <row r="371">
      <c r="B371" s="50"/>
      <c r="C371" s="59"/>
      <c r="D371" s="45"/>
      <c r="E371" s="36">
        <v>42390.0</v>
      </c>
      <c r="F371" t="str">
        <f t="shared" si="2"/>
        <v>2016-01</v>
      </c>
      <c r="H371" s="52"/>
      <c r="I371" s="44"/>
      <c r="J371" s="45">
        <v>0.0</v>
      </c>
      <c r="T371" s="52"/>
    </row>
    <row r="372">
      <c r="B372" s="50"/>
      <c r="C372" s="59"/>
      <c r="D372" s="45"/>
      <c r="E372" s="36">
        <v>42409.0</v>
      </c>
      <c r="F372" t="str">
        <f t="shared" si="2"/>
        <v>2016-02</v>
      </c>
      <c r="H372" s="52"/>
      <c r="I372" s="44"/>
      <c r="J372" s="45">
        <v>0.0</v>
      </c>
      <c r="T372" s="52"/>
    </row>
    <row r="373">
      <c r="B373" s="50"/>
      <c r="C373" s="59"/>
      <c r="D373" s="45"/>
      <c r="E373" s="36">
        <v>42423.0</v>
      </c>
      <c r="F373" t="str">
        <f t="shared" si="2"/>
        <v>2016-02</v>
      </c>
      <c r="H373" s="52"/>
      <c r="I373" s="44"/>
      <c r="J373" s="45">
        <v>0.0</v>
      </c>
      <c r="T373" s="52"/>
    </row>
    <row r="374">
      <c r="B374" s="50"/>
      <c r="C374" s="59"/>
      <c r="D374" s="45"/>
      <c r="E374" s="36">
        <v>42431.0</v>
      </c>
      <c r="F374" t="str">
        <f t="shared" si="2"/>
        <v>2016-03</v>
      </c>
      <c r="H374" s="52"/>
      <c r="I374" s="44"/>
      <c r="J374" s="45">
        <v>0.0</v>
      </c>
      <c r="T374" s="52"/>
    </row>
    <row r="375">
      <c r="B375" s="50"/>
      <c r="C375" s="59"/>
      <c r="D375" s="45"/>
      <c r="E375" s="36">
        <v>42438.0</v>
      </c>
      <c r="F375" t="str">
        <f t="shared" si="2"/>
        <v>2016-03</v>
      </c>
      <c r="H375" s="52"/>
      <c r="I375" s="44"/>
      <c r="J375" s="45">
        <v>0.0</v>
      </c>
      <c r="T375" s="52"/>
    </row>
    <row r="376">
      <c r="B376" s="50"/>
      <c r="C376" s="59"/>
      <c r="D376" s="45"/>
      <c r="E376" s="36">
        <v>42443.0</v>
      </c>
      <c r="F376" t="str">
        <f t="shared" si="2"/>
        <v>2016-03</v>
      </c>
      <c r="H376" s="52"/>
      <c r="I376" s="44"/>
      <c r="J376" s="45">
        <v>0.0</v>
      </c>
      <c r="T376" s="52"/>
    </row>
    <row r="377">
      <c r="B377" s="50"/>
      <c r="C377" s="59"/>
      <c r="D377" s="45"/>
      <c r="E377" s="36">
        <v>42445.0</v>
      </c>
      <c r="F377" t="str">
        <f t="shared" si="2"/>
        <v>2016-03</v>
      </c>
      <c r="H377" s="52"/>
      <c r="I377" s="44"/>
      <c r="J377" s="45">
        <v>0.0</v>
      </c>
      <c r="T377" s="52"/>
    </row>
    <row r="378">
      <c r="B378" s="50"/>
      <c r="C378" s="59"/>
      <c r="D378" s="45"/>
      <c r="E378" s="36">
        <v>42452.0</v>
      </c>
      <c r="F378" t="str">
        <f t="shared" si="2"/>
        <v>2016-03</v>
      </c>
      <c r="H378" s="52"/>
      <c r="I378" s="44"/>
      <c r="J378" s="45">
        <v>0.0</v>
      </c>
      <c r="T378" s="52"/>
    </row>
    <row r="379">
      <c r="B379" s="50"/>
      <c r="C379" s="59"/>
      <c r="D379" s="45"/>
      <c r="E379" s="36">
        <v>42461.0</v>
      </c>
      <c r="F379" t="str">
        <f t="shared" si="2"/>
        <v>2016-04</v>
      </c>
      <c r="H379" s="52"/>
      <c r="I379" s="44"/>
      <c r="J379" s="45">
        <v>0.0</v>
      </c>
      <c r="T379" s="52"/>
    </row>
    <row r="380">
      <c r="B380" s="50"/>
      <c r="C380" s="59"/>
      <c r="D380" s="45"/>
      <c r="E380" s="36">
        <v>42465.0</v>
      </c>
      <c r="F380" t="str">
        <f t="shared" si="2"/>
        <v>2016-04</v>
      </c>
      <c r="H380" s="52"/>
      <c r="I380" s="44"/>
      <c r="J380" s="45">
        <v>0.0</v>
      </c>
      <c r="T380" s="52"/>
    </row>
    <row r="381">
      <c r="B381" s="50"/>
      <c r="C381" s="59"/>
      <c r="D381" s="45"/>
      <c r="E381" s="36">
        <v>42481.0</v>
      </c>
      <c r="F381" t="str">
        <f t="shared" si="2"/>
        <v>2016-04</v>
      </c>
      <c r="H381" s="52"/>
      <c r="I381" s="44"/>
      <c r="J381" s="45">
        <v>0.0</v>
      </c>
      <c r="T381" s="52"/>
    </row>
    <row r="382">
      <c r="B382" s="50"/>
      <c r="C382" s="59"/>
      <c r="D382" s="45"/>
      <c r="E382" s="36">
        <v>42495.0</v>
      </c>
      <c r="F382" t="str">
        <f t="shared" si="2"/>
        <v>2016-05</v>
      </c>
      <c r="H382" s="52"/>
      <c r="I382" s="44"/>
      <c r="J382" s="45">
        <v>0.0</v>
      </c>
      <c r="T382" s="52"/>
    </row>
    <row r="383">
      <c r="B383" s="50"/>
      <c r="C383" s="59"/>
      <c r="D383" s="45"/>
      <c r="E383" s="36">
        <v>42544.0</v>
      </c>
      <c r="F383" t="str">
        <f t="shared" si="2"/>
        <v>2016-06</v>
      </c>
      <c r="H383" s="52"/>
      <c r="I383" s="44"/>
      <c r="J383" s="45">
        <v>0.0</v>
      </c>
      <c r="T383" s="52"/>
    </row>
    <row r="384">
      <c r="B384" s="50"/>
      <c r="C384" s="59"/>
      <c r="D384" s="45"/>
      <c r="E384" s="36">
        <v>42486.0</v>
      </c>
      <c r="F384" t="str">
        <f t="shared" si="2"/>
        <v>2016-04</v>
      </c>
      <c r="H384" s="52"/>
      <c r="I384" s="44"/>
      <c r="J384" s="45">
        <v>1279.0</v>
      </c>
      <c r="T384" s="52"/>
    </row>
    <row r="385">
      <c r="B385" s="50"/>
      <c r="C385" s="59"/>
      <c r="D385" s="45"/>
      <c r="E385" s="36">
        <v>42495.0</v>
      </c>
      <c r="F385" t="str">
        <f t="shared" si="2"/>
        <v>2016-05</v>
      </c>
      <c r="H385" s="52"/>
      <c r="I385" s="44"/>
      <c r="J385" s="45">
        <v>0.0</v>
      </c>
      <c r="T385" s="52"/>
    </row>
    <row r="386">
      <c r="B386" s="50"/>
      <c r="C386" s="59"/>
      <c r="D386" s="45"/>
      <c r="E386" s="36">
        <v>42507.0</v>
      </c>
      <c r="F386" t="str">
        <f t="shared" si="2"/>
        <v>2016-05</v>
      </c>
      <c r="H386" s="52"/>
      <c r="I386" s="44"/>
      <c r="J386" s="45">
        <v>0.0</v>
      </c>
      <c r="T386" s="52"/>
    </row>
    <row r="387">
      <c r="B387" s="50"/>
      <c r="C387" s="59"/>
      <c r="D387" s="45"/>
      <c r="E387" s="36">
        <v>42523.0</v>
      </c>
      <c r="F387" t="str">
        <f t="shared" si="2"/>
        <v>2016-06</v>
      </c>
      <c r="H387" s="52"/>
      <c r="I387" s="44"/>
      <c r="J387" s="45">
        <v>0.0</v>
      </c>
      <c r="T387" s="52"/>
    </row>
    <row r="388">
      <c r="B388" s="50"/>
      <c r="C388" s="59"/>
      <c r="D388" s="45"/>
      <c r="E388" s="36">
        <v>42538.0</v>
      </c>
      <c r="F388" t="str">
        <f t="shared" si="2"/>
        <v>2016-06</v>
      </c>
      <c r="H388" s="52"/>
      <c r="I388" s="44"/>
      <c r="J388" s="45">
        <v>0.0</v>
      </c>
      <c r="T388" s="52"/>
    </row>
    <row r="389">
      <c r="B389" s="50"/>
      <c r="C389" s="59"/>
      <c r="D389" s="45"/>
      <c r="E389" s="36">
        <v>42557.0</v>
      </c>
      <c r="F389" t="str">
        <f t="shared" si="2"/>
        <v>2016-07</v>
      </c>
      <c r="H389" s="52"/>
      <c r="I389" s="44"/>
      <c r="J389" s="45">
        <v>0.0</v>
      </c>
      <c r="T389" s="52"/>
    </row>
    <row r="390">
      <c r="B390" s="50"/>
      <c r="C390" s="59"/>
      <c r="D390" s="45"/>
      <c r="E390" s="36">
        <v>42572.0</v>
      </c>
      <c r="F390" t="str">
        <f t="shared" si="2"/>
        <v>2016-07</v>
      </c>
      <c r="H390" s="52"/>
      <c r="I390" s="44"/>
      <c r="J390" s="45">
        <v>0.0</v>
      </c>
      <c r="T390" s="52"/>
    </row>
    <row r="391">
      <c r="B391" s="50"/>
      <c r="C391" s="59"/>
      <c r="D391" s="45"/>
      <c r="E391" s="36">
        <v>42597.0</v>
      </c>
      <c r="F391" t="str">
        <f t="shared" si="2"/>
        <v>2016-08</v>
      </c>
      <c r="H391" s="52"/>
      <c r="I391" s="44"/>
      <c r="J391" s="45">
        <v>0.0</v>
      </c>
      <c r="T391" s="52"/>
    </row>
    <row r="392">
      <c r="B392" s="50"/>
      <c r="C392" s="59"/>
      <c r="D392" s="45"/>
      <c r="E392" s="36">
        <v>42608.0</v>
      </c>
      <c r="F392" t="str">
        <f t="shared" si="2"/>
        <v>2016-08</v>
      </c>
      <c r="H392" s="52"/>
      <c r="I392" s="44"/>
      <c r="J392" s="45">
        <v>0.0</v>
      </c>
      <c r="T392" s="52"/>
    </row>
    <row r="393">
      <c r="B393" s="50"/>
      <c r="C393" s="59"/>
      <c r="D393" s="45"/>
      <c r="E393" s="36">
        <v>42628.0</v>
      </c>
      <c r="F393" t="str">
        <f t="shared" si="2"/>
        <v>2016-09</v>
      </c>
      <c r="H393" s="52"/>
      <c r="I393" s="44"/>
      <c r="J393" s="45">
        <v>0.0</v>
      </c>
      <c r="T393" s="52"/>
    </row>
    <row r="394">
      <c r="B394" s="50"/>
      <c r="C394" s="59"/>
      <c r="D394" s="45"/>
      <c r="E394" s="36">
        <v>42641.0</v>
      </c>
      <c r="F394" t="str">
        <f t="shared" si="2"/>
        <v>2016-09</v>
      </c>
      <c r="H394" s="52"/>
      <c r="I394" s="44"/>
      <c r="J394" s="45">
        <v>0.0</v>
      </c>
      <c r="T394" s="52"/>
    </row>
    <row r="395">
      <c r="B395" s="50"/>
      <c r="C395" s="59"/>
      <c r="D395" s="45"/>
      <c r="E395" s="36">
        <v>42655.0</v>
      </c>
      <c r="F395" t="str">
        <f t="shared" si="2"/>
        <v>2016-10</v>
      </c>
      <c r="H395" s="52"/>
      <c r="I395" s="44"/>
      <c r="J395" s="45">
        <v>0.0</v>
      </c>
      <c r="T395" s="52"/>
    </row>
    <row r="396">
      <c r="B396" s="50"/>
      <c r="C396" s="59"/>
      <c r="D396" s="45"/>
      <c r="E396" s="36">
        <v>42658.0</v>
      </c>
      <c r="F396" t="str">
        <f t="shared" si="2"/>
        <v>2016-10</v>
      </c>
      <c r="H396" s="52"/>
      <c r="I396" s="44"/>
      <c r="J396" s="45">
        <v>0.0</v>
      </c>
      <c r="T396" s="52"/>
    </row>
    <row r="397">
      <c r="B397" s="50"/>
      <c r="C397" s="59"/>
      <c r="D397" s="45"/>
      <c r="E397" s="36">
        <v>42661.0</v>
      </c>
      <c r="F397" t="str">
        <f t="shared" si="2"/>
        <v>2016-10</v>
      </c>
      <c r="H397" s="52"/>
      <c r="I397" s="44"/>
      <c r="J397" s="45">
        <v>0.0</v>
      </c>
      <c r="T397" s="52"/>
    </row>
    <row r="398">
      <c r="B398" s="50"/>
      <c r="C398" s="59"/>
      <c r="D398" s="45"/>
      <c r="E398" s="36">
        <v>42662.0</v>
      </c>
      <c r="F398" t="str">
        <f t="shared" si="2"/>
        <v>2016-10</v>
      </c>
      <c r="H398" s="52"/>
      <c r="I398" s="44"/>
      <c r="J398" s="45">
        <v>0.0</v>
      </c>
      <c r="T398" s="52"/>
    </row>
    <row r="399">
      <c r="B399" s="50"/>
      <c r="C399" s="59"/>
      <c r="D399" s="45"/>
      <c r="E399" s="36">
        <v>42710.0</v>
      </c>
      <c r="F399" t="str">
        <f t="shared" si="2"/>
        <v>2016-12</v>
      </c>
      <c r="H399" s="52"/>
      <c r="I399" s="44"/>
      <c r="J399" s="45">
        <v>0.0</v>
      </c>
      <c r="T399" s="52"/>
    </row>
    <row r="400">
      <c r="B400" s="50"/>
      <c r="C400" s="59"/>
      <c r="D400" s="45"/>
      <c r="E400" s="36">
        <v>42738.0</v>
      </c>
      <c r="F400" t="str">
        <f t="shared" si="2"/>
        <v>2017-01</v>
      </c>
      <c r="H400" s="52"/>
      <c r="I400" s="44"/>
      <c r="J400" s="45">
        <v>0.0</v>
      </c>
      <c r="T400" s="52"/>
    </row>
    <row r="401">
      <c r="B401" s="50"/>
      <c r="C401" s="59"/>
      <c r="D401" s="45"/>
      <c r="E401" s="36">
        <v>42740.0</v>
      </c>
      <c r="F401" t="str">
        <f t="shared" si="2"/>
        <v>2017-01</v>
      </c>
      <c r="H401" s="52"/>
      <c r="I401" s="44"/>
      <c r="J401" s="45">
        <v>0.0</v>
      </c>
      <c r="T401" s="52"/>
    </row>
    <row r="402">
      <c r="B402" s="50"/>
      <c r="C402" s="59"/>
      <c r="D402" s="45"/>
      <c r="E402" s="36">
        <v>42766.0</v>
      </c>
      <c r="F402" t="str">
        <f t="shared" si="2"/>
        <v>2017-01</v>
      </c>
      <c r="H402" s="52"/>
      <c r="I402" s="44"/>
      <c r="J402" s="45">
        <v>0.0</v>
      </c>
      <c r="T402" s="52"/>
    </row>
    <row r="403">
      <c r="B403" s="50"/>
      <c r="C403" s="59"/>
      <c r="D403" s="45"/>
      <c r="E403" s="36">
        <v>42788.0</v>
      </c>
      <c r="F403" t="str">
        <f t="shared" si="2"/>
        <v>2017-02</v>
      </c>
      <c r="H403" s="52"/>
      <c r="I403" s="44"/>
      <c r="J403" s="45">
        <v>0.0</v>
      </c>
      <c r="T403" s="52"/>
    </row>
    <row r="404">
      <c r="B404" s="50"/>
      <c r="C404" s="59"/>
      <c r="D404" s="45"/>
      <c r="E404" s="36">
        <v>42815.0</v>
      </c>
      <c r="F404" t="str">
        <f t="shared" si="2"/>
        <v>2017-03</v>
      </c>
      <c r="H404" s="52"/>
      <c r="I404" s="44"/>
      <c r="J404" s="45">
        <v>0.0</v>
      </c>
      <c r="T404" s="52"/>
    </row>
    <row r="405">
      <c r="B405" s="50"/>
      <c r="C405" s="59"/>
      <c r="D405" s="45"/>
      <c r="E405" s="36">
        <v>42829.0</v>
      </c>
      <c r="F405" t="str">
        <f t="shared" si="2"/>
        <v>2017-04</v>
      </c>
      <c r="H405" s="52"/>
      <c r="I405" s="44"/>
      <c r="J405" s="45">
        <v>0.0</v>
      </c>
      <c r="T405" s="52"/>
    </row>
    <row r="406">
      <c r="B406" s="50"/>
      <c r="C406" s="59"/>
      <c r="D406" s="45"/>
      <c r="E406" s="36">
        <v>42857.0</v>
      </c>
      <c r="F406" t="str">
        <f t="shared" si="2"/>
        <v>2017-05</v>
      </c>
      <c r="H406" s="52"/>
      <c r="I406" s="44"/>
      <c r="J406" s="45">
        <v>0.0</v>
      </c>
      <c r="T406" s="52"/>
    </row>
    <row r="407">
      <c r="B407" s="50"/>
      <c r="C407" s="59"/>
      <c r="D407" s="45"/>
      <c r="E407" s="36">
        <v>42892.0</v>
      </c>
      <c r="F407" t="str">
        <f t="shared" si="2"/>
        <v>2017-06</v>
      </c>
      <c r="H407" s="52"/>
      <c r="I407" s="44"/>
      <c r="J407" s="45">
        <v>0.0</v>
      </c>
      <c r="T407" s="52"/>
    </row>
    <row r="408">
      <c r="B408" s="50"/>
      <c r="C408" s="59"/>
      <c r="D408" s="45"/>
      <c r="E408" s="36">
        <v>42927.0</v>
      </c>
      <c r="F408" t="str">
        <f t="shared" si="2"/>
        <v>2017-07</v>
      </c>
      <c r="H408" s="52"/>
      <c r="I408" s="44"/>
      <c r="J408" s="45">
        <v>0.0</v>
      </c>
      <c r="T408" s="52"/>
    </row>
    <row r="409">
      <c r="B409" s="50"/>
      <c r="C409" s="59"/>
      <c r="D409" s="45"/>
      <c r="E409" s="36">
        <v>42948.0</v>
      </c>
      <c r="F409" t="str">
        <f t="shared" si="2"/>
        <v>2017-08</v>
      </c>
      <c r="H409" s="52"/>
      <c r="I409" s="44"/>
      <c r="J409" s="45">
        <v>0.0</v>
      </c>
      <c r="T409" s="52"/>
    </row>
    <row r="410">
      <c r="B410" s="50"/>
      <c r="C410" s="59"/>
      <c r="D410" s="45"/>
      <c r="E410" s="36">
        <v>42983.0</v>
      </c>
      <c r="F410" t="str">
        <f t="shared" si="2"/>
        <v>2017-09</v>
      </c>
      <c r="H410" s="52"/>
      <c r="I410" s="44"/>
      <c r="J410" s="45">
        <v>0.0</v>
      </c>
      <c r="T410" s="52"/>
    </row>
    <row r="411">
      <c r="B411" s="50"/>
      <c r="C411" s="59"/>
      <c r="D411" s="45"/>
      <c r="E411" s="36">
        <v>42668.0</v>
      </c>
      <c r="F411" t="str">
        <f t="shared" si="2"/>
        <v>2016-10</v>
      </c>
      <c r="H411" s="52"/>
      <c r="I411" s="44"/>
      <c r="J411" s="45">
        <v>1287.0</v>
      </c>
      <c r="T411" s="52"/>
    </row>
    <row r="412">
      <c r="B412" s="50"/>
      <c r="C412" s="59"/>
      <c r="D412" s="45"/>
      <c r="E412" s="36">
        <v>42682.0</v>
      </c>
      <c r="F412" t="str">
        <f t="shared" si="2"/>
        <v>2016-11</v>
      </c>
      <c r="H412" s="52"/>
      <c r="I412" s="44"/>
      <c r="J412" s="45">
        <v>0.0</v>
      </c>
      <c r="T412" s="52"/>
    </row>
    <row r="413">
      <c r="B413" s="50"/>
      <c r="C413" s="59"/>
      <c r="D413" s="45"/>
      <c r="E413" s="36">
        <v>42696.0</v>
      </c>
      <c r="F413" t="str">
        <f t="shared" si="2"/>
        <v>2016-11</v>
      </c>
      <c r="H413" s="52"/>
      <c r="I413" s="44"/>
      <c r="J413" s="45">
        <v>0.0</v>
      </c>
      <c r="T413" s="52"/>
    </row>
    <row r="414">
      <c r="B414" s="50"/>
      <c r="C414" s="59"/>
      <c r="D414" s="45"/>
      <c r="E414" s="36">
        <v>42710.0</v>
      </c>
      <c r="F414" t="str">
        <f t="shared" si="2"/>
        <v>2016-12</v>
      </c>
      <c r="H414" s="52"/>
      <c r="I414" s="44"/>
      <c r="J414" s="45">
        <v>0.0</v>
      </c>
      <c r="T414" s="52"/>
    </row>
    <row r="415">
      <c r="B415" s="50"/>
      <c r="C415" s="59"/>
      <c r="D415" s="45"/>
      <c r="E415" s="36">
        <v>42724.0</v>
      </c>
      <c r="F415" t="str">
        <f t="shared" si="2"/>
        <v>2016-12</v>
      </c>
      <c r="H415" s="52"/>
      <c r="I415" s="44"/>
      <c r="J415" s="45">
        <v>0.0</v>
      </c>
      <c r="T415" s="52"/>
    </row>
    <row r="416">
      <c r="B416" s="50"/>
      <c r="C416" s="59"/>
      <c r="D416" s="45"/>
      <c r="E416" s="36">
        <v>42739.0</v>
      </c>
      <c r="F416" t="str">
        <f t="shared" si="2"/>
        <v>2017-01</v>
      </c>
      <c r="H416" s="52"/>
      <c r="I416" s="44"/>
      <c r="J416" s="45">
        <v>0.0</v>
      </c>
      <c r="T416" s="52"/>
    </row>
    <row r="417">
      <c r="B417" s="50"/>
      <c r="C417" s="59"/>
      <c r="D417" s="45"/>
      <c r="E417" s="36">
        <v>42767.0</v>
      </c>
      <c r="F417" t="str">
        <f t="shared" si="2"/>
        <v>2017-02</v>
      </c>
      <c r="H417" s="52"/>
      <c r="I417" s="44"/>
      <c r="J417" s="45">
        <v>0.0</v>
      </c>
      <c r="T417" s="52"/>
    </row>
    <row r="418">
      <c r="B418" s="50"/>
      <c r="C418" s="59"/>
      <c r="D418" s="45"/>
      <c r="E418" s="36">
        <v>42788.0</v>
      </c>
      <c r="F418" t="str">
        <f t="shared" si="2"/>
        <v>2017-02</v>
      </c>
      <c r="H418" s="52"/>
      <c r="I418" s="44"/>
      <c r="J418" s="45">
        <v>0.0</v>
      </c>
      <c r="T418" s="52"/>
    </row>
    <row r="419">
      <c r="B419" s="50"/>
      <c r="C419" s="59"/>
      <c r="D419" s="45"/>
      <c r="E419" s="36">
        <v>42795.0</v>
      </c>
      <c r="F419" t="str">
        <f t="shared" si="2"/>
        <v>2017-03</v>
      </c>
      <c r="H419" s="52"/>
      <c r="I419" s="44"/>
      <c r="J419" s="45">
        <v>0.0</v>
      </c>
      <c r="T419" s="52"/>
    </row>
    <row r="420">
      <c r="B420" s="50"/>
      <c r="C420" s="59"/>
      <c r="D420" s="45"/>
      <c r="E420" s="36">
        <v>42796.0</v>
      </c>
      <c r="F420" t="str">
        <f t="shared" si="2"/>
        <v>2017-03</v>
      </c>
      <c r="H420" s="52"/>
      <c r="I420" s="44"/>
      <c r="J420" s="45">
        <v>0.0</v>
      </c>
      <c r="T420" s="52"/>
    </row>
    <row r="421">
      <c r="B421" s="50"/>
      <c r="C421" s="59"/>
      <c r="D421" s="45"/>
      <c r="E421" s="36">
        <v>42802.0</v>
      </c>
      <c r="F421" t="str">
        <f t="shared" si="2"/>
        <v>2017-03</v>
      </c>
      <c r="H421" s="52"/>
      <c r="I421" s="44"/>
      <c r="J421" s="45">
        <v>0.0</v>
      </c>
      <c r="T421" s="52"/>
    </row>
    <row r="422">
      <c r="B422" s="50"/>
      <c r="C422" s="59"/>
      <c r="D422" s="45"/>
      <c r="E422" s="36">
        <v>42808.0</v>
      </c>
      <c r="F422" t="str">
        <f t="shared" si="2"/>
        <v>2017-03</v>
      </c>
      <c r="H422" s="52"/>
      <c r="I422" s="44"/>
      <c r="J422" s="45">
        <v>0.0</v>
      </c>
      <c r="T422" s="52"/>
    </row>
    <row r="423">
      <c r="B423" s="50"/>
      <c r="C423" s="59"/>
      <c r="D423" s="45"/>
      <c r="E423" s="36">
        <v>42815.0</v>
      </c>
      <c r="F423" t="str">
        <f t="shared" si="2"/>
        <v>2017-03</v>
      </c>
      <c r="H423" s="52"/>
      <c r="I423" s="44"/>
      <c r="J423" s="45">
        <v>0.0</v>
      </c>
      <c r="T423" s="52"/>
    </row>
    <row r="424">
      <c r="B424" s="50"/>
      <c r="C424" s="59"/>
      <c r="D424" s="45"/>
      <c r="E424" s="36">
        <v>42823.0</v>
      </c>
      <c r="F424" t="str">
        <f t="shared" si="2"/>
        <v>2017-03</v>
      </c>
      <c r="H424" s="52"/>
      <c r="I424" s="44"/>
      <c r="J424" s="45">
        <v>0.0</v>
      </c>
      <c r="T424" s="52"/>
    </row>
    <row r="425">
      <c r="B425" s="50"/>
      <c r="C425" s="59"/>
      <c r="D425" s="45"/>
      <c r="E425" s="36">
        <v>42836.0</v>
      </c>
      <c r="F425" t="str">
        <f t="shared" si="2"/>
        <v>2017-04</v>
      </c>
      <c r="H425" s="52"/>
      <c r="I425" s="44"/>
      <c r="J425" s="45">
        <v>0.0</v>
      </c>
      <c r="T425" s="52"/>
    </row>
    <row r="426">
      <c r="B426" s="50"/>
      <c r="C426" s="59"/>
      <c r="D426" s="45"/>
      <c r="E426" s="36">
        <v>42858.0</v>
      </c>
      <c r="F426" t="str">
        <f t="shared" si="2"/>
        <v>2017-05</v>
      </c>
      <c r="H426" s="52"/>
      <c r="I426" s="44"/>
      <c r="J426" s="45">
        <v>0.0</v>
      </c>
      <c r="T426" s="52"/>
    </row>
    <row r="427">
      <c r="B427" s="50"/>
      <c r="C427" s="59"/>
      <c r="D427" s="45"/>
      <c r="E427" s="36">
        <v>42927.0</v>
      </c>
      <c r="F427" t="str">
        <f t="shared" si="2"/>
        <v>2017-07</v>
      </c>
      <c r="H427" s="52"/>
      <c r="I427" s="44"/>
      <c r="J427" s="45">
        <v>0.0</v>
      </c>
      <c r="T427" s="52"/>
    </row>
    <row r="428">
      <c r="B428" s="50"/>
      <c r="C428" s="59"/>
      <c r="D428" s="45"/>
      <c r="E428" s="36">
        <v>42885.0</v>
      </c>
      <c r="F428" t="str">
        <f t="shared" si="2"/>
        <v>2017-05</v>
      </c>
      <c r="H428" s="52"/>
      <c r="I428" s="44"/>
      <c r="J428" s="45">
        <v>2611.0</v>
      </c>
      <c r="T428" s="52"/>
    </row>
    <row r="429">
      <c r="B429" s="50"/>
      <c r="C429" s="59"/>
      <c r="D429" s="45"/>
      <c r="E429" s="36">
        <v>42894.0</v>
      </c>
      <c r="F429" t="str">
        <f t="shared" si="2"/>
        <v>2017-06</v>
      </c>
      <c r="H429" s="52"/>
      <c r="I429" s="44"/>
      <c r="J429" s="45">
        <v>0.0</v>
      </c>
      <c r="T429" s="52"/>
    </row>
    <row r="430">
      <c r="B430" s="50"/>
      <c r="C430" s="59"/>
      <c r="D430" s="45"/>
      <c r="E430" s="36">
        <v>42899.0</v>
      </c>
      <c r="F430" t="str">
        <f t="shared" si="2"/>
        <v>2017-06</v>
      </c>
      <c r="H430" s="52"/>
      <c r="I430" s="44"/>
      <c r="J430" s="45">
        <v>0.0</v>
      </c>
      <c r="T430" s="52"/>
    </row>
    <row r="431">
      <c r="B431" s="50"/>
      <c r="C431" s="59"/>
      <c r="D431" s="45"/>
      <c r="E431" s="36">
        <v>42901.0</v>
      </c>
      <c r="F431" t="str">
        <f t="shared" si="2"/>
        <v>2017-06</v>
      </c>
      <c r="H431" s="52"/>
      <c r="I431" s="44"/>
      <c r="J431" s="45">
        <v>0.0</v>
      </c>
      <c r="T431" s="52"/>
    </row>
    <row r="432">
      <c r="B432" s="50"/>
      <c r="C432" s="59"/>
      <c r="D432" s="45"/>
      <c r="E432" s="36">
        <v>42915.0</v>
      </c>
      <c r="F432" t="str">
        <f t="shared" si="2"/>
        <v>2017-06</v>
      </c>
      <c r="H432" s="52"/>
      <c r="I432" s="44"/>
      <c r="J432" s="45">
        <v>0.0</v>
      </c>
      <c r="T432" s="52"/>
    </row>
    <row r="433">
      <c r="B433" s="50"/>
      <c r="C433" s="59"/>
      <c r="D433" s="45"/>
      <c r="E433" s="36">
        <v>42927.0</v>
      </c>
      <c r="F433" t="str">
        <f t="shared" si="2"/>
        <v>2017-07</v>
      </c>
      <c r="H433" s="52"/>
      <c r="I433" s="44"/>
      <c r="J433" s="45">
        <v>0.0</v>
      </c>
      <c r="T433" s="52"/>
    </row>
    <row r="434">
      <c r="B434" s="50"/>
      <c r="C434" s="59"/>
      <c r="D434" s="45"/>
      <c r="E434" s="36">
        <v>42935.0</v>
      </c>
      <c r="F434" t="str">
        <f t="shared" si="2"/>
        <v>2017-07</v>
      </c>
      <c r="H434" s="52"/>
      <c r="I434" s="44"/>
      <c r="J434" s="45">
        <v>0.0</v>
      </c>
      <c r="T434" s="52"/>
    </row>
    <row r="435">
      <c r="B435" s="50"/>
      <c r="C435" s="59"/>
      <c r="D435" s="45"/>
      <c r="E435" s="36">
        <v>42936.0</v>
      </c>
      <c r="F435" t="str">
        <f t="shared" si="2"/>
        <v>2017-07</v>
      </c>
      <c r="H435" s="52"/>
      <c r="I435" s="44"/>
      <c r="J435" s="45">
        <v>0.0</v>
      </c>
      <c r="T435" s="52"/>
    </row>
    <row r="436">
      <c r="B436" s="50"/>
      <c r="C436" s="59"/>
      <c r="D436" s="45"/>
      <c r="E436" s="36">
        <v>42957.0</v>
      </c>
      <c r="F436" t="str">
        <f t="shared" si="2"/>
        <v>2017-08</v>
      </c>
      <c r="H436" s="52"/>
      <c r="I436" s="44"/>
      <c r="J436" s="45">
        <v>0.0</v>
      </c>
      <c r="T436" s="52"/>
    </row>
    <row r="437">
      <c r="B437" s="50"/>
      <c r="C437" s="59"/>
      <c r="D437" s="45"/>
      <c r="E437" s="36">
        <v>42962.0</v>
      </c>
      <c r="F437" t="str">
        <f t="shared" si="2"/>
        <v>2017-08</v>
      </c>
      <c r="H437" s="52"/>
      <c r="I437" s="44"/>
      <c r="J437" s="45">
        <v>0.0</v>
      </c>
      <c r="T437" s="52"/>
    </row>
    <row r="438">
      <c r="B438" s="50"/>
      <c r="C438" s="59"/>
      <c r="D438" s="45"/>
      <c r="E438" s="36">
        <v>42990.0</v>
      </c>
      <c r="F438" t="str">
        <f t="shared" si="2"/>
        <v>2017-09</v>
      </c>
      <c r="H438" s="52"/>
      <c r="I438" s="44"/>
      <c r="J438" s="45">
        <v>0.0</v>
      </c>
      <c r="T438" s="52"/>
    </row>
    <row r="439">
      <c r="B439" s="50"/>
      <c r="C439" s="59"/>
      <c r="D439" s="45"/>
      <c r="E439" s="36">
        <v>43004.0</v>
      </c>
      <c r="F439" t="str">
        <f t="shared" si="2"/>
        <v>2017-09</v>
      </c>
      <c r="H439" s="52"/>
      <c r="I439" s="44"/>
      <c r="J439" s="45">
        <v>0.0</v>
      </c>
      <c r="T439" s="52"/>
    </row>
    <row r="440">
      <c r="B440" s="50"/>
      <c r="C440" s="59"/>
      <c r="D440" s="45"/>
      <c r="H440" s="52"/>
      <c r="I440" s="44"/>
      <c r="J440" s="45"/>
      <c r="T440" s="52"/>
    </row>
    <row r="441">
      <c r="B441" s="50"/>
      <c r="C441" s="59"/>
      <c r="D441" s="45"/>
      <c r="H441" s="52"/>
      <c r="I441" s="44"/>
      <c r="J441" s="45"/>
      <c r="T441" s="52"/>
    </row>
    <row r="442">
      <c r="B442" s="50"/>
      <c r="C442" s="59"/>
      <c r="D442" s="45"/>
      <c r="H442" s="52"/>
      <c r="I442" s="44"/>
      <c r="J442" s="45"/>
      <c r="T442" s="52"/>
    </row>
    <row r="443">
      <c r="B443" s="50"/>
      <c r="C443" s="59"/>
      <c r="D443" s="45"/>
      <c r="H443" s="52"/>
      <c r="I443" s="44"/>
      <c r="J443" s="45"/>
      <c r="T443" s="52"/>
    </row>
    <row r="444">
      <c r="B444" s="50"/>
      <c r="C444" s="59"/>
      <c r="D444" s="45"/>
      <c r="H444" s="52"/>
      <c r="I444" s="44"/>
      <c r="J444" s="45"/>
      <c r="T444" s="52"/>
    </row>
    <row r="445">
      <c r="B445" s="50"/>
      <c r="C445" s="59"/>
      <c r="D445" s="45"/>
      <c r="H445" s="52"/>
      <c r="I445" s="44"/>
      <c r="J445" s="45"/>
      <c r="T445" s="52"/>
    </row>
    <row r="446">
      <c r="B446" s="50"/>
      <c r="C446" s="59"/>
      <c r="D446" s="45"/>
      <c r="H446" s="52"/>
      <c r="I446" s="44"/>
      <c r="J446" s="45"/>
      <c r="T446" s="52"/>
    </row>
    <row r="447">
      <c r="B447" s="50"/>
      <c r="C447" s="59"/>
      <c r="D447" s="45"/>
      <c r="H447" s="52"/>
      <c r="I447" s="44"/>
      <c r="J447" s="45"/>
      <c r="T447" s="52"/>
    </row>
    <row r="448">
      <c r="B448" s="50"/>
      <c r="C448" s="59"/>
      <c r="D448" s="45"/>
      <c r="H448" s="52"/>
      <c r="I448" s="44"/>
      <c r="J448" s="45"/>
      <c r="T448" s="52"/>
    </row>
    <row r="449">
      <c r="B449" s="50"/>
      <c r="C449" s="59"/>
      <c r="D449" s="45"/>
      <c r="H449" s="52"/>
      <c r="I449" s="44"/>
      <c r="J449" s="45"/>
      <c r="T449" s="52"/>
    </row>
    <row r="450">
      <c r="B450" s="50"/>
      <c r="C450" s="59"/>
      <c r="D450" s="45"/>
      <c r="H450" s="52"/>
      <c r="I450" s="44"/>
      <c r="J450" s="45"/>
      <c r="T450" s="52"/>
    </row>
    <row r="451">
      <c r="B451" s="50"/>
      <c r="C451" s="59"/>
      <c r="D451" s="45"/>
      <c r="H451" s="52"/>
      <c r="I451" s="44"/>
      <c r="J451" s="45"/>
      <c r="T451" s="52"/>
    </row>
    <row r="452">
      <c r="B452" s="50"/>
      <c r="C452" s="59"/>
      <c r="D452" s="45"/>
      <c r="H452" s="52"/>
      <c r="I452" s="44"/>
      <c r="J452" s="45"/>
      <c r="T452" s="52"/>
    </row>
    <row r="453">
      <c r="B453" s="50"/>
      <c r="C453" s="59"/>
      <c r="D453" s="45"/>
      <c r="H453" s="52"/>
      <c r="I453" s="44"/>
      <c r="J453" s="45"/>
      <c r="T453" s="52"/>
    </row>
    <row r="454">
      <c r="B454" s="50"/>
      <c r="C454" s="59"/>
      <c r="D454" s="45"/>
      <c r="H454" s="52"/>
      <c r="I454" s="44"/>
      <c r="J454" s="45"/>
      <c r="T454" s="52"/>
    </row>
    <row r="455">
      <c r="B455" s="50"/>
      <c r="C455" s="59"/>
      <c r="D455" s="45"/>
      <c r="H455" s="52"/>
      <c r="I455" s="44"/>
      <c r="J455" s="45"/>
      <c r="T455" s="52"/>
    </row>
    <row r="456">
      <c r="B456" s="50"/>
      <c r="C456" s="59"/>
      <c r="D456" s="45"/>
      <c r="H456" s="52"/>
      <c r="I456" s="44"/>
      <c r="J456" s="45"/>
      <c r="T456" s="52"/>
    </row>
    <row r="457">
      <c r="B457" s="50"/>
      <c r="C457" s="59"/>
      <c r="D457" s="45"/>
      <c r="H457" s="52"/>
      <c r="I457" s="44"/>
      <c r="J457" s="45"/>
      <c r="T457" s="52"/>
    </row>
    <row r="458">
      <c r="B458" s="50"/>
      <c r="C458" s="59"/>
      <c r="D458" s="45"/>
      <c r="H458" s="52"/>
      <c r="I458" s="44"/>
      <c r="J458" s="63"/>
      <c r="T458" s="52"/>
    </row>
    <row r="459">
      <c r="B459" s="50"/>
      <c r="C459" s="59"/>
      <c r="D459" s="45"/>
      <c r="H459" s="52"/>
      <c r="I459" s="44"/>
      <c r="J459" s="63"/>
      <c r="T459" s="52"/>
    </row>
    <row r="460">
      <c r="B460" s="50"/>
      <c r="C460" s="59"/>
      <c r="D460" s="45"/>
      <c r="H460" s="52"/>
      <c r="I460" s="44"/>
      <c r="J460" s="63"/>
      <c r="T460" s="52"/>
    </row>
    <row r="461">
      <c r="B461" s="50"/>
      <c r="C461" s="59"/>
      <c r="D461" s="45"/>
      <c r="H461" s="52"/>
      <c r="I461" s="44"/>
      <c r="J461" s="63"/>
      <c r="T461" s="52"/>
    </row>
    <row r="462">
      <c r="B462" s="50"/>
      <c r="C462" s="59"/>
      <c r="H462" s="52"/>
      <c r="I462" s="44"/>
      <c r="J462" s="63"/>
      <c r="T462" s="52"/>
    </row>
    <row r="463">
      <c r="B463" s="50"/>
      <c r="C463" s="59"/>
      <c r="H463" s="52"/>
      <c r="I463" s="44"/>
      <c r="J463" s="63"/>
      <c r="T463" s="52"/>
    </row>
    <row r="464">
      <c r="B464" s="50"/>
      <c r="C464" s="59"/>
      <c r="H464" s="52"/>
      <c r="I464" s="44"/>
      <c r="J464" s="63"/>
      <c r="T464" s="52"/>
    </row>
    <row r="465">
      <c r="B465" s="50"/>
      <c r="C465" s="59"/>
      <c r="H465" s="52"/>
      <c r="I465" s="44"/>
      <c r="J465" s="63"/>
      <c r="T465" s="52"/>
    </row>
    <row r="466">
      <c r="B466" s="50"/>
      <c r="C466" s="59"/>
      <c r="H466" s="52"/>
      <c r="I466" s="44"/>
      <c r="J466" s="63"/>
      <c r="T466" s="52"/>
    </row>
    <row r="467">
      <c r="B467" s="50"/>
      <c r="C467" s="59"/>
      <c r="H467" s="52"/>
      <c r="I467" s="44"/>
      <c r="J467" s="63"/>
      <c r="T467" s="52"/>
    </row>
    <row r="468">
      <c r="B468" s="50"/>
      <c r="C468" s="59"/>
      <c r="H468" s="52"/>
      <c r="I468" s="44"/>
      <c r="J468" s="63"/>
      <c r="T468" s="52"/>
    </row>
    <row r="469">
      <c r="B469" s="50"/>
      <c r="C469" s="59"/>
      <c r="H469" s="52"/>
      <c r="I469" s="44"/>
      <c r="J469" s="63"/>
      <c r="T469" s="52"/>
    </row>
    <row r="470">
      <c r="B470" s="50"/>
      <c r="C470" s="59"/>
      <c r="H470" s="52"/>
      <c r="I470" s="44"/>
      <c r="J470" s="63"/>
      <c r="T470" s="52"/>
    </row>
    <row r="471">
      <c r="B471" s="50"/>
      <c r="C471" s="59"/>
      <c r="H471" s="52"/>
      <c r="I471" s="44"/>
      <c r="J471" s="63"/>
      <c r="T471" s="52"/>
    </row>
    <row r="472">
      <c r="B472" s="50"/>
      <c r="C472" s="59"/>
      <c r="H472" s="52"/>
      <c r="I472" s="44"/>
      <c r="J472" s="63"/>
      <c r="T472" s="52"/>
    </row>
    <row r="473">
      <c r="B473" s="50"/>
      <c r="C473" s="59"/>
      <c r="H473" s="52"/>
      <c r="I473" s="44"/>
      <c r="J473" s="63"/>
      <c r="T473" s="52"/>
    </row>
    <row r="474">
      <c r="B474" s="50"/>
      <c r="C474" s="59"/>
      <c r="H474" s="52"/>
      <c r="I474" s="44"/>
      <c r="J474" s="63"/>
      <c r="T474" s="52"/>
    </row>
    <row r="475">
      <c r="B475" s="50"/>
      <c r="C475" s="59"/>
      <c r="H475" s="52"/>
      <c r="I475" s="44"/>
      <c r="J475" s="63"/>
      <c r="T475" s="52"/>
    </row>
    <row r="476">
      <c r="B476" s="50"/>
      <c r="C476" s="59"/>
      <c r="H476" s="52"/>
      <c r="I476" s="44"/>
      <c r="J476" s="63"/>
      <c r="T476" s="52"/>
    </row>
    <row r="477">
      <c r="B477" s="50"/>
      <c r="C477" s="59"/>
      <c r="H477" s="52"/>
      <c r="I477" s="44"/>
      <c r="J477" s="63"/>
      <c r="T477" s="52"/>
    </row>
    <row r="478">
      <c r="B478" s="50"/>
      <c r="C478" s="59"/>
      <c r="H478" s="52"/>
      <c r="I478" s="44"/>
      <c r="J478" s="63"/>
      <c r="T478" s="52"/>
    </row>
    <row r="479">
      <c r="B479" s="50"/>
      <c r="C479" s="59"/>
      <c r="H479" s="52"/>
      <c r="I479" s="44"/>
      <c r="J479" s="63"/>
      <c r="T479" s="52"/>
    </row>
    <row r="480">
      <c r="B480" s="50"/>
      <c r="C480" s="59"/>
      <c r="H480" s="52"/>
      <c r="I480" s="44"/>
      <c r="J480" s="63"/>
      <c r="T480" s="52"/>
    </row>
    <row r="481">
      <c r="B481" s="50"/>
      <c r="C481" s="59"/>
      <c r="H481" s="52"/>
      <c r="I481" s="44"/>
      <c r="J481" s="63"/>
      <c r="T481" s="52"/>
    </row>
    <row r="482">
      <c r="B482" s="50"/>
      <c r="C482" s="59"/>
      <c r="H482" s="52"/>
      <c r="I482" s="44"/>
      <c r="J482" s="63"/>
      <c r="T482" s="52"/>
    </row>
    <row r="483">
      <c r="B483" s="50"/>
      <c r="C483" s="59"/>
      <c r="H483" s="52"/>
      <c r="I483" s="44"/>
      <c r="J483" s="63"/>
      <c r="T483" s="52"/>
    </row>
    <row r="484">
      <c r="B484" s="50"/>
      <c r="C484" s="59"/>
      <c r="H484" s="52"/>
      <c r="I484" s="44"/>
      <c r="J484" s="63"/>
      <c r="T484" s="52"/>
    </row>
    <row r="485">
      <c r="B485" s="50"/>
      <c r="C485" s="59"/>
      <c r="H485" s="52"/>
      <c r="I485" s="44"/>
      <c r="J485" s="63"/>
      <c r="T485" s="52"/>
    </row>
    <row r="486">
      <c r="B486" s="50"/>
      <c r="C486" s="59"/>
      <c r="H486" s="52"/>
      <c r="I486" s="44"/>
      <c r="J486" s="63"/>
      <c r="T486" s="52"/>
    </row>
    <row r="487">
      <c r="B487" s="50"/>
      <c r="C487" s="59"/>
      <c r="H487" s="52"/>
      <c r="I487" s="44"/>
      <c r="J487" s="63"/>
      <c r="T487" s="52"/>
    </row>
    <row r="488">
      <c r="B488" s="50"/>
      <c r="C488" s="59"/>
      <c r="H488" s="52"/>
      <c r="I488" s="44"/>
      <c r="J488" s="63"/>
      <c r="T488" s="52"/>
    </row>
    <row r="489">
      <c r="B489" s="50"/>
      <c r="C489" s="59"/>
      <c r="H489" s="52"/>
      <c r="I489" s="44"/>
      <c r="J489" s="63"/>
      <c r="T489" s="52"/>
    </row>
    <row r="490">
      <c r="B490" s="50"/>
      <c r="C490" s="59"/>
      <c r="H490" s="52"/>
      <c r="I490" s="44"/>
      <c r="J490" s="63"/>
      <c r="T490" s="52"/>
    </row>
    <row r="491">
      <c r="B491" s="50"/>
      <c r="C491" s="59"/>
      <c r="H491" s="52"/>
      <c r="I491" s="44"/>
      <c r="J491" s="63"/>
      <c r="T491" s="52"/>
    </row>
    <row r="492">
      <c r="B492" s="50"/>
      <c r="C492" s="59"/>
      <c r="H492" s="52"/>
      <c r="I492" s="44"/>
      <c r="J492" s="63"/>
      <c r="T492" s="52"/>
    </row>
    <row r="493">
      <c r="B493" s="50"/>
      <c r="C493" s="59"/>
      <c r="H493" s="52"/>
      <c r="I493" s="44"/>
      <c r="J493" s="63"/>
      <c r="T493" s="52"/>
    </row>
    <row r="494">
      <c r="B494" s="50"/>
      <c r="C494" s="59"/>
      <c r="H494" s="52"/>
      <c r="I494" s="44"/>
      <c r="J494" s="63"/>
      <c r="T494" s="52"/>
    </row>
    <row r="495">
      <c r="B495" s="50"/>
      <c r="C495" s="59"/>
      <c r="H495" s="52"/>
      <c r="I495" s="44"/>
      <c r="J495" s="63"/>
      <c r="T495" s="52"/>
    </row>
    <row r="496">
      <c r="B496" s="50"/>
      <c r="C496" s="59"/>
      <c r="H496" s="52"/>
      <c r="I496" s="44"/>
      <c r="J496" s="63"/>
      <c r="T496" s="52"/>
    </row>
    <row r="497">
      <c r="B497" s="50"/>
      <c r="C497" s="59"/>
      <c r="H497" s="52"/>
      <c r="I497" s="44"/>
      <c r="J497" s="63"/>
      <c r="T497" s="52"/>
    </row>
    <row r="498">
      <c r="B498" s="50"/>
      <c r="C498" s="59"/>
      <c r="H498" s="52"/>
      <c r="I498" s="44"/>
      <c r="J498" s="63"/>
      <c r="T498" s="52"/>
    </row>
    <row r="499">
      <c r="B499" s="50"/>
      <c r="C499" s="59"/>
      <c r="H499" s="52"/>
      <c r="I499" s="44"/>
      <c r="J499" s="63"/>
      <c r="T499" s="52"/>
    </row>
    <row r="500">
      <c r="B500" s="50"/>
      <c r="C500" s="59"/>
      <c r="H500" s="52"/>
      <c r="I500" s="44"/>
      <c r="J500" s="63"/>
      <c r="T500" s="52"/>
    </row>
    <row r="501">
      <c r="B501" s="50"/>
      <c r="C501" s="59"/>
      <c r="H501" s="52"/>
      <c r="I501" s="44"/>
      <c r="J501" s="63"/>
      <c r="T501" s="52"/>
    </row>
    <row r="502">
      <c r="B502" s="50"/>
      <c r="C502" s="59"/>
      <c r="H502" s="52"/>
      <c r="I502" s="44"/>
      <c r="J502" s="63"/>
      <c r="T502" s="52"/>
    </row>
    <row r="503">
      <c r="B503" s="50"/>
      <c r="C503" s="59"/>
      <c r="H503" s="52"/>
      <c r="I503" s="44"/>
      <c r="J503" s="63"/>
      <c r="T503" s="52"/>
    </row>
    <row r="504">
      <c r="B504" s="50"/>
      <c r="C504" s="59"/>
      <c r="H504" s="52"/>
      <c r="I504" s="44"/>
      <c r="J504" s="63"/>
      <c r="T504" s="52"/>
    </row>
    <row r="505">
      <c r="B505" s="50"/>
      <c r="C505" s="59"/>
      <c r="H505" s="52"/>
      <c r="I505" s="44"/>
      <c r="J505" s="63"/>
      <c r="T505" s="52"/>
    </row>
    <row r="506">
      <c r="B506" s="50"/>
      <c r="C506" s="59"/>
      <c r="H506" s="52"/>
      <c r="I506" s="44"/>
      <c r="J506" s="63"/>
      <c r="T506" s="52"/>
    </row>
    <row r="507">
      <c r="B507" s="50"/>
      <c r="C507" s="59"/>
      <c r="H507" s="52"/>
      <c r="I507" s="44"/>
      <c r="J507" s="63"/>
      <c r="T507" s="52"/>
    </row>
    <row r="508">
      <c r="B508" s="50"/>
      <c r="C508" s="59"/>
      <c r="H508" s="52"/>
      <c r="I508" s="44"/>
      <c r="J508" s="63"/>
      <c r="T508" s="52"/>
    </row>
    <row r="509">
      <c r="B509" s="50"/>
      <c r="C509" s="59"/>
      <c r="H509" s="52"/>
      <c r="I509" s="44"/>
      <c r="J509" s="63"/>
      <c r="T509" s="52"/>
    </row>
    <row r="510">
      <c r="B510" s="50"/>
      <c r="C510" s="59"/>
      <c r="H510" s="52"/>
      <c r="I510" s="44"/>
      <c r="J510" s="63"/>
      <c r="T510" s="52"/>
    </row>
    <row r="511">
      <c r="B511" s="50"/>
      <c r="C511" s="59"/>
      <c r="H511" s="52"/>
      <c r="I511" s="44"/>
      <c r="J511" s="63"/>
      <c r="T511" s="52"/>
    </row>
    <row r="512">
      <c r="B512" s="50"/>
      <c r="C512" s="59"/>
      <c r="H512" s="52"/>
      <c r="I512" s="44"/>
      <c r="J512" s="63"/>
      <c r="T512" s="52"/>
    </row>
    <row r="513">
      <c r="B513" s="50"/>
      <c r="C513" s="59"/>
      <c r="H513" s="52"/>
      <c r="I513" s="44"/>
      <c r="J513" s="63"/>
      <c r="T513" s="52"/>
    </row>
    <row r="514">
      <c r="B514" s="50"/>
      <c r="C514" s="59"/>
      <c r="H514" s="52"/>
      <c r="I514" s="44"/>
      <c r="J514" s="63"/>
      <c r="T514" s="52"/>
    </row>
    <row r="515">
      <c r="B515" s="50"/>
      <c r="C515" s="59"/>
      <c r="H515" s="52"/>
      <c r="I515" s="44"/>
      <c r="J515" s="63"/>
      <c r="T515" s="52"/>
    </row>
    <row r="516">
      <c r="B516" s="50"/>
      <c r="C516" s="59"/>
      <c r="H516" s="52"/>
      <c r="I516" s="44"/>
      <c r="J516" s="63"/>
      <c r="T516" s="52"/>
    </row>
    <row r="517">
      <c r="B517" s="50"/>
      <c r="C517" s="59"/>
      <c r="H517" s="52"/>
      <c r="I517" s="44"/>
      <c r="J517" s="63"/>
      <c r="T517" s="52"/>
    </row>
    <row r="518">
      <c r="B518" s="50"/>
      <c r="C518" s="59"/>
      <c r="H518" s="52"/>
      <c r="I518" s="44"/>
      <c r="J518" s="63"/>
      <c r="T518" s="52"/>
    </row>
    <row r="519">
      <c r="B519" s="50"/>
      <c r="C519" s="59"/>
      <c r="H519" s="52"/>
      <c r="I519" s="44"/>
      <c r="J519" s="63"/>
      <c r="T519" s="52"/>
    </row>
    <row r="520">
      <c r="B520" s="50"/>
      <c r="C520" s="59"/>
      <c r="H520" s="52"/>
      <c r="I520" s="44"/>
      <c r="J520" s="63"/>
      <c r="T520" s="52"/>
    </row>
    <row r="521">
      <c r="B521" s="50"/>
      <c r="C521" s="59"/>
      <c r="H521" s="52"/>
      <c r="I521" s="44"/>
      <c r="J521" s="63"/>
      <c r="T521" s="52"/>
    </row>
    <row r="522">
      <c r="B522" s="50"/>
      <c r="C522" s="59"/>
      <c r="H522" s="52"/>
      <c r="I522" s="44"/>
      <c r="J522" s="63"/>
      <c r="T522" s="52"/>
    </row>
    <row r="523">
      <c r="B523" s="50"/>
      <c r="C523" s="59"/>
      <c r="H523" s="52"/>
      <c r="I523" s="44"/>
      <c r="J523" s="63"/>
      <c r="T523" s="52"/>
    </row>
    <row r="524">
      <c r="B524" s="50"/>
      <c r="C524" s="59"/>
      <c r="H524" s="52"/>
      <c r="I524" s="44"/>
      <c r="J524" s="63"/>
      <c r="T524" s="52"/>
    </row>
    <row r="525">
      <c r="B525" s="50"/>
      <c r="C525" s="59"/>
      <c r="H525" s="52"/>
      <c r="I525" s="44"/>
      <c r="J525" s="63"/>
      <c r="T525" s="52"/>
    </row>
    <row r="526">
      <c r="B526" s="50"/>
      <c r="C526" s="59"/>
      <c r="H526" s="52"/>
      <c r="I526" s="44"/>
      <c r="J526" s="63"/>
      <c r="T526" s="52"/>
    </row>
    <row r="527">
      <c r="B527" s="50"/>
      <c r="C527" s="59"/>
      <c r="H527" s="52"/>
      <c r="I527" s="44"/>
      <c r="J527" s="63"/>
      <c r="T527" s="52"/>
    </row>
    <row r="528">
      <c r="B528" s="50"/>
      <c r="C528" s="59"/>
      <c r="H528" s="52"/>
      <c r="I528" s="44"/>
      <c r="J528" s="63"/>
      <c r="T528" s="52"/>
    </row>
    <row r="529">
      <c r="B529" s="50"/>
      <c r="C529" s="59"/>
      <c r="H529" s="52"/>
      <c r="I529" s="44"/>
      <c r="J529" s="63"/>
      <c r="T529" s="52"/>
    </row>
    <row r="530">
      <c r="B530" s="50"/>
      <c r="C530" s="59"/>
      <c r="H530" s="52"/>
      <c r="I530" s="44"/>
      <c r="J530" s="63"/>
      <c r="T530" s="52"/>
    </row>
    <row r="531">
      <c r="B531" s="50"/>
      <c r="C531" s="59"/>
      <c r="H531" s="52"/>
      <c r="I531" s="44"/>
      <c r="J531" s="63"/>
      <c r="T531" s="52"/>
    </row>
    <row r="532">
      <c r="B532" s="50"/>
      <c r="C532" s="59"/>
      <c r="H532" s="52"/>
      <c r="I532" s="44"/>
      <c r="J532" s="63"/>
      <c r="T532" s="52"/>
    </row>
    <row r="533">
      <c r="B533" s="50"/>
      <c r="C533" s="59"/>
      <c r="H533" s="52"/>
      <c r="I533" s="44"/>
      <c r="J533" s="63"/>
      <c r="T533" s="52"/>
    </row>
    <row r="534">
      <c r="B534" s="50"/>
      <c r="C534" s="59"/>
      <c r="H534" s="52"/>
      <c r="I534" s="44"/>
      <c r="J534" s="63"/>
      <c r="T534" s="52"/>
    </row>
    <row r="535">
      <c r="B535" s="50"/>
      <c r="C535" s="59"/>
      <c r="H535" s="52"/>
      <c r="I535" s="44"/>
      <c r="J535" s="63"/>
      <c r="T535" s="52"/>
    </row>
    <row r="536">
      <c r="B536" s="50"/>
      <c r="C536" s="59"/>
      <c r="H536" s="52"/>
      <c r="I536" s="44"/>
      <c r="J536" s="63"/>
      <c r="T536" s="52"/>
    </row>
    <row r="537">
      <c r="B537" s="50"/>
      <c r="C537" s="59"/>
      <c r="H537" s="52"/>
      <c r="I537" s="44"/>
      <c r="J537" s="63"/>
      <c r="T537" s="52"/>
    </row>
    <row r="538">
      <c r="B538" s="50"/>
      <c r="C538" s="59"/>
      <c r="H538" s="52"/>
      <c r="I538" s="44"/>
      <c r="J538" s="63"/>
      <c r="T538" s="52"/>
    </row>
    <row r="539">
      <c r="B539" s="50"/>
      <c r="C539" s="59"/>
      <c r="H539" s="52"/>
      <c r="I539" s="44"/>
      <c r="J539" s="63"/>
      <c r="T539" s="52"/>
    </row>
    <row r="540">
      <c r="B540" s="50"/>
      <c r="C540" s="59"/>
      <c r="H540" s="52"/>
      <c r="I540" s="44"/>
      <c r="J540" s="63"/>
      <c r="T540" s="52"/>
    </row>
    <row r="541">
      <c r="B541" s="50"/>
      <c r="C541" s="59"/>
      <c r="H541" s="52"/>
      <c r="I541" s="44"/>
      <c r="J541" s="63"/>
      <c r="T541" s="52"/>
    </row>
    <row r="542">
      <c r="B542" s="50"/>
      <c r="C542" s="59"/>
      <c r="H542" s="52"/>
      <c r="I542" s="44"/>
      <c r="J542" s="63"/>
      <c r="T542" s="52"/>
    </row>
    <row r="543">
      <c r="B543" s="50"/>
      <c r="C543" s="59"/>
      <c r="H543" s="52"/>
      <c r="I543" s="44"/>
      <c r="J543" s="63"/>
      <c r="T543" s="52"/>
    </row>
    <row r="544">
      <c r="B544" s="50"/>
      <c r="C544" s="59"/>
      <c r="H544" s="52"/>
      <c r="I544" s="44"/>
      <c r="J544" s="63"/>
      <c r="T544" s="52"/>
    </row>
    <row r="545">
      <c r="B545" s="50"/>
      <c r="C545" s="59"/>
      <c r="H545" s="52"/>
      <c r="I545" s="44"/>
      <c r="J545" s="63"/>
      <c r="T545" s="52"/>
    </row>
    <row r="546">
      <c r="B546" s="50"/>
      <c r="C546" s="59"/>
      <c r="H546" s="52"/>
      <c r="I546" s="44"/>
      <c r="J546" s="63"/>
      <c r="T546" s="52"/>
    </row>
    <row r="547">
      <c r="B547" s="50"/>
      <c r="C547" s="59"/>
      <c r="H547" s="52"/>
      <c r="I547" s="44"/>
      <c r="J547" s="63"/>
      <c r="T547" s="52"/>
    </row>
    <row r="548">
      <c r="B548" s="50"/>
      <c r="C548" s="59"/>
      <c r="H548" s="52"/>
      <c r="I548" s="44"/>
      <c r="J548" s="63"/>
      <c r="T548" s="52"/>
    </row>
    <row r="549">
      <c r="B549" s="50"/>
      <c r="C549" s="59"/>
      <c r="H549" s="52"/>
      <c r="I549" s="44"/>
      <c r="J549" s="63"/>
      <c r="T549" s="52"/>
    </row>
    <row r="550">
      <c r="B550" s="50"/>
      <c r="C550" s="59"/>
      <c r="H550" s="52"/>
      <c r="I550" s="44"/>
      <c r="J550" s="63"/>
      <c r="T550" s="52"/>
    </row>
    <row r="551">
      <c r="B551" s="50"/>
      <c r="C551" s="59"/>
      <c r="H551" s="52"/>
      <c r="I551" s="44"/>
      <c r="J551" s="63"/>
      <c r="T551" s="52"/>
    </row>
    <row r="552">
      <c r="B552" s="50"/>
      <c r="C552" s="59"/>
      <c r="H552" s="52"/>
      <c r="I552" s="44"/>
      <c r="J552" s="63"/>
      <c r="T552" s="52"/>
    </row>
    <row r="553">
      <c r="B553" s="50"/>
      <c r="C553" s="59"/>
      <c r="H553" s="52"/>
      <c r="I553" s="44"/>
      <c r="J553" s="63"/>
      <c r="T553" s="52"/>
    </row>
    <row r="554">
      <c r="B554" s="50"/>
      <c r="C554" s="59"/>
      <c r="H554" s="52"/>
      <c r="I554" s="44"/>
      <c r="J554" s="63"/>
      <c r="T554" s="52"/>
    </row>
    <row r="555">
      <c r="B555" s="50"/>
      <c r="C555" s="59"/>
      <c r="H555" s="52"/>
      <c r="I555" s="44"/>
      <c r="J555" s="63"/>
      <c r="T555" s="52"/>
    </row>
    <row r="556">
      <c r="B556" s="50"/>
      <c r="C556" s="59"/>
      <c r="H556" s="52"/>
      <c r="I556" s="44"/>
      <c r="J556" s="63"/>
      <c r="T556" s="52"/>
    </row>
    <row r="557">
      <c r="B557" s="50"/>
      <c r="C557" s="59"/>
      <c r="H557" s="52"/>
      <c r="I557" s="44"/>
      <c r="J557" s="63"/>
      <c r="T557" s="52"/>
    </row>
    <row r="558">
      <c r="B558" s="50"/>
      <c r="C558" s="59"/>
      <c r="H558" s="52"/>
      <c r="I558" s="44"/>
      <c r="J558" s="63"/>
      <c r="T558" s="52"/>
    </row>
    <row r="559">
      <c r="B559" s="50"/>
      <c r="C559" s="59"/>
      <c r="H559" s="52"/>
      <c r="I559" s="44"/>
      <c r="J559" s="63"/>
      <c r="T559" s="52"/>
    </row>
    <row r="560">
      <c r="B560" s="50"/>
      <c r="C560" s="59"/>
      <c r="H560" s="52"/>
      <c r="I560" s="44"/>
      <c r="J560" s="63"/>
      <c r="T560" s="52"/>
    </row>
    <row r="561">
      <c r="B561" s="50"/>
      <c r="C561" s="59"/>
      <c r="H561" s="52"/>
      <c r="I561" s="44"/>
      <c r="J561" s="63"/>
      <c r="T561" s="52"/>
    </row>
    <row r="562">
      <c r="B562" s="50"/>
      <c r="C562" s="59"/>
      <c r="H562" s="52"/>
      <c r="I562" s="44"/>
      <c r="J562" s="63"/>
      <c r="T562" s="52"/>
    </row>
    <row r="563">
      <c r="B563" s="50"/>
      <c r="C563" s="59"/>
      <c r="H563" s="52"/>
      <c r="I563" s="44"/>
      <c r="J563" s="63"/>
      <c r="T563" s="52"/>
    </row>
    <row r="564">
      <c r="B564" s="50"/>
      <c r="C564" s="59"/>
      <c r="H564" s="52"/>
      <c r="I564" s="44"/>
      <c r="J564" s="63"/>
      <c r="T564" s="52"/>
    </row>
    <row r="565">
      <c r="B565" s="50"/>
      <c r="C565" s="59"/>
      <c r="H565" s="52"/>
      <c r="I565" s="44"/>
      <c r="J565" s="63"/>
      <c r="T565" s="52"/>
    </row>
    <row r="566">
      <c r="B566" s="50"/>
      <c r="C566" s="59"/>
      <c r="H566" s="52"/>
      <c r="I566" s="44"/>
      <c r="J566" s="63"/>
      <c r="T566" s="52"/>
    </row>
    <row r="567">
      <c r="B567" s="50"/>
      <c r="C567" s="59"/>
      <c r="H567" s="52"/>
      <c r="I567" s="44"/>
      <c r="J567" s="63"/>
      <c r="T567" s="52"/>
    </row>
    <row r="568">
      <c r="B568" s="50"/>
      <c r="C568" s="59"/>
      <c r="H568" s="52"/>
      <c r="I568" s="44"/>
      <c r="J568" s="63"/>
      <c r="T568" s="52"/>
    </row>
    <row r="569">
      <c r="B569" s="50"/>
      <c r="C569" s="59"/>
      <c r="H569" s="52"/>
      <c r="I569" s="44"/>
      <c r="J569" s="63"/>
      <c r="T569" s="52"/>
    </row>
    <row r="570">
      <c r="B570" s="50"/>
      <c r="C570" s="59"/>
      <c r="H570" s="52"/>
      <c r="I570" s="44"/>
      <c r="J570" s="63"/>
      <c r="T570" s="52"/>
    </row>
    <row r="571">
      <c r="B571" s="50"/>
      <c r="C571" s="59"/>
      <c r="H571" s="52"/>
      <c r="I571" s="44"/>
      <c r="J571" s="63"/>
      <c r="T571" s="52"/>
    </row>
    <row r="572">
      <c r="B572" s="50"/>
      <c r="C572" s="59"/>
      <c r="H572" s="52"/>
      <c r="I572" s="44"/>
      <c r="J572" s="63"/>
      <c r="T572" s="52"/>
    </row>
    <row r="573">
      <c r="B573" s="50"/>
      <c r="C573" s="59"/>
      <c r="H573" s="52"/>
      <c r="I573" s="44"/>
      <c r="J573" s="63"/>
      <c r="T573" s="52"/>
    </row>
    <row r="574">
      <c r="B574" s="50"/>
      <c r="C574" s="59"/>
      <c r="H574" s="52"/>
      <c r="I574" s="44"/>
      <c r="J574" s="63"/>
      <c r="T574" s="52"/>
    </row>
    <row r="575">
      <c r="B575" s="50"/>
      <c r="C575" s="59"/>
      <c r="H575" s="52"/>
      <c r="I575" s="44"/>
      <c r="J575" s="63"/>
      <c r="T575" s="52"/>
    </row>
    <row r="576">
      <c r="B576" s="50"/>
      <c r="C576" s="59"/>
      <c r="H576" s="52"/>
      <c r="I576" s="44"/>
      <c r="J576" s="63"/>
      <c r="T576" s="52"/>
    </row>
    <row r="577">
      <c r="B577" s="50"/>
      <c r="C577" s="59"/>
      <c r="H577" s="52"/>
      <c r="I577" s="44"/>
      <c r="J577" s="63"/>
      <c r="T577" s="52"/>
    </row>
    <row r="578">
      <c r="B578" s="50"/>
      <c r="C578" s="59"/>
      <c r="H578" s="52"/>
      <c r="I578" s="44"/>
      <c r="J578" s="63"/>
      <c r="T578" s="52"/>
    </row>
    <row r="579">
      <c r="B579" s="50"/>
      <c r="C579" s="59"/>
      <c r="H579" s="52"/>
      <c r="I579" s="44"/>
      <c r="J579" s="63"/>
      <c r="T579" s="52"/>
    </row>
    <row r="580">
      <c r="B580" s="50"/>
      <c r="C580" s="59"/>
      <c r="H580" s="52"/>
      <c r="I580" s="44"/>
      <c r="J580" s="63"/>
      <c r="T580" s="52"/>
    </row>
    <row r="581">
      <c r="B581" s="50"/>
      <c r="C581" s="59"/>
      <c r="H581" s="52"/>
      <c r="I581" s="44"/>
      <c r="J581" s="63"/>
      <c r="T581" s="52"/>
    </row>
    <row r="582">
      <c r="B582" s="50"/>
      <c r="C582" s="59"/>
      <c r="H582" s="52"/>
      <c r="I582" s="44"/>
      <c r="J582" s="63"/>
      <c r="T582" s="52"/>
    </row>
    <row r="583">
      <c r="B583" s="50"/>
      <c r="C583" s="59"/>
      <c r="H583" s="52"/>
      <c r="I583" s="44"/>
      <c r="J583" s="63"/>
      <c r="T583" s="52"/>
    </row>
    <row r="584">
      <c r="B584" s="50"/>
      <c r="C584" s="59"/>
      <c r="H584" s="52"/>
      <c r="I584" s="44"/>
      <c r="J584" s="63"/>
      <c r="T584" s="52"/>
    </row>
    <row r="585">
      <c r="B585" s="50"/>
      <c r="C585" s="59"/>
      <c r="H585" s="52"/>
      <c r="I585" s="44"/>
      <c r="J585" s="63"/>
      <c r="T585" s="52"/>
    </row>
    <row r="586">
      <c r="B586" s="50"/>
      <c r="C586" s="59"/>
      <c r="H586" s="52"/>
      <c r="I586" s="44"/>
      <c r="J586" s="63"/>
      <c r="T586" s="52"/>
    </row>
    <row r="587">
      <c r="B587" s="50"/>
      <c r="C587" s="59"/>
      <c r="H587" s="52"/>
      <c r="I587" s="44"/>
      <c r="J587" s="63"/>
      <c r="T587" s="52"/>
    </row>
    <row r="588">
      <c r="B588" s="50"/>
      <c r="C588" s="59"/>
      <c r="H588" s="52"/>
      <c r="I588" s="44"/>
      <c r="J588" s="63"/>
      <c r="T588" s="52"/>
    </row>
    <row r="589">
      <c r="B589" s="50"/>
      <c r="C589" s="59"/>
      <c r="H589" s="52"/>
      <c r="I589" s="44"/>
      <c r="J589" s="63"/>
      <c r="T589" s="52"/>
    </row>
    <row r="590">
      <c r="B590" s="50"/>
      <c r="C590" s="59"/>
      <c r="H590" s="52"/>
      <c r="I590" s="44"/>
      <c r="J590" s="63"/>
      <c r="T590" s="52"/>
    </row>
    <row r="591">
      <c r="B591" s="50"/>
      <c r="C591" s="59"/>
      <c r="H591" s="52"/>
      <c r="I591" s="44"/>
      <c r="J591" s="63"/>
      <c r="T591" s="52"/>
    </row>
    <row r="592">
      <c r="B592" s="50"/>
      <c r="C592" s="59"/>
      <c r="H592" s="52"/>
      <c r="I592" s="44"/>
      <c r="J592" s="63"/>
      <c r="T592" s="52"/>
    </row>
    <row r="593">
      <c r="B593" s="50"/>
      <c r="C593" s="59"/>
      <c r="H593" s="52"/>
      <c r="I593" s="44"/>
      <c r="J593" s="63"/>
      <c r="T593" s="52"/>
    </row>
    <row r="594">
      <c r="B594" s="50"/>
      <c r="C594" s="59"/>
      <c r="H594" s="52"/>
      <c r="I594" s="44"/>
      <c r="J594" s="63"/>
      <c r="T594" s="52"/>
    </row>
    <row r="595">
      <c r="B595" s="50"/>
      <c r="C595" s="59"/>
      <c r="H595" s="52"/>
      <c r="I595" s="44"/>
      <c r="J595" s="63"/>
      <c r="T595" s="52"/>
    </row>
    <row r="596">
      <c r="B596" s="50"/>
      <c r="C596" s="59"/>
      <c r="H596" s="52"/>
      <c r="I596" s="44"/>
      <c r="J596" s="63"/>
      <c r="T596" s="52"/>
    </row>
    <row r="597">
      <c r="B597" s="50"/>
      <c r="C597" s="59"/>
      <c r="H597" s="52"/>
      <c r="I597" s="44"/>
      <c r="J597" s="63"/>
      <c r="T597" s="52"/>
    </row>
    <row r="598">
      <c r="B598" s="50"/>
      <c r="C598" s="59"/>
      <c r="H598" s="52"/>
      <c r="I598" s="44"/>
      <c r="J598" s="63"/>
      <c r="T598" s="52"/>
    </row>
    <row r="599">
      <c r="B599" s="50"/>
      <c r="C599" s="59"/>
      <c r="H599" s="52"/>
      <c r="I599" s="44"/>
      <c r="J599" s="63"/>
      <c r="T599" s="52"/>
    </row>
    <row r="600">
      <c r="B600" s="50"/>
      <c r="C600" s="59"/>
      <c r="H600" s="52"/>
      <c r="I600" s="44"/>
      <c r="J600" s="63"/>
      <c r="T600" s="52"/>
    </row>
    <row r="601">
      <c r="B601" s="50"/>
      <c r="C601" s="59"/>
      <c r="H601" s="52"/>
      <c r="I601" s="44"/>
      <c r="J601" s="63"/>
      <c r="T601" s="52"/>
    </row>
    <row r="602">
      <c r="B602" s="50"/>
      <c r="C602" s="59"/>
      <c r="H602" s="52"/>
      <c r="I602" s="44"/>
      <c r="J602" s="63"/>
      <c r="T602" s="52"/>
    </row>
    <row r="603">
      <c r="B603" s="50"/>
      <c r="C603" s="59"/>
      <c r="H603" s="52"/>
      <c r="I603" s="44"/>
      <c r="J603" s="63"/>
      <c r="T603" s="52"/>
    </row>
    <row r="604">
      <c r="B604" s="50"/>
      <c r="C604" s="59"/>
      <c r="H604" s="52"/>
      <c r="I604" s="44"/>
      <c r="J604" s="63"/>
      <c r="T604" s="52"/>
    </row>
    <row r="605">
      <c r="B605" s="50"/>
      <c r="C605" s="59"/>
      <c r="H605" s="52"/>
      <c r="I605" s="44"/>
      <c r="J605" s="63"/>
      <c r="T605" s="52"/>
    </row>
    <row r="606">
      <c r="B606" s="50"/>
      <c r="C606" s="59"/>
      <c r="H606" s="52"/>
      <c r="I606" s="44"/>
      <c r="J606" s="63"/>
      <c r="T606" s="52"/>
    </row>
    <row r="607">
      <c r="B607" s="50"/>
      <c r="C607" s="59"/>
      <c r="H607" s="52"/>
      <c r="I607" s="44"/>
      <c r="J607" s="63"/>
      <c r="T607" s="52"/>
    </row>
    <row r="608">
      <c r="B608" s="50"/>
      <c r="C608" s="59"/>
      <c r="H608" s="52"/>
      <c r="I608" s="44"/>
      <c r="J608" s="63"/>
      <c r="T608" s="52"/>
    </row>
    <row r="609">
      <c r="B609" s="50"/>
      <c r="C609" s="59"/>
      <c r="H609" s="52"/>
      <c r="I609" s="44"/>
      <c r="J609" s="63"/>
      <c r="T609" s="52"/>
    </row>
    <row r="610">
      <c r="B610" s="50"/>
      <c r="C610" s="59"/>
      <c r="H610" s="52"/>
      <c r="I610" s="44"/>
      <c r="J610" s="63"/>
      <c r="T610" s="52"/>
    </row>
    <row r="611">
      <c r="B611" s="50"/>
      <c r="C611" s="59"/>
      <c r="H611" s="52"/>
      <c r="I611" s="44"/>
      <c r="J611" s="63"/>
      <c r="T611" s="52"/>
    </row>
    <row r="612">
      <c r="B612" s="50"/>
      <c r="C612" s="59"/>
      <c r="H612" s="52"/>
      <c r="I612" s="44"/>
      <c r="J612" s="63"/>
      <c r="T612" s="52"/>
    </row>
    <row r="613">
      <c r="B613" s="50"/>
      <c r="C613" s="59"/>
      <c r="H613" s="52"/>
      <c r="I613" s="44"/>
      <c r="J613" s="63"/>
      <c r="T613" s="52"/>
    </row>
    <row r="614">
      <c r="B614" s="50"/>
      <c r="C614" s="59"/>
      <c r="H614" s="52"/>
      <c r="I614" s="44"/>
      <c r="J614" s="63"/>
      <c r="T614" s="52"/>
    </row>
    <row r="615">
      <c r="B615" s="50"/>
      <c r="C615" s="59"/>
      <c r="H615" s="52"/>
      <c r="I615" s="44"/>
      <c r="J615" s="63"/>
      <c r="T615" s="52"/>
    </row>
    <row r="616">
      <c r="B616" s="50"/>
      <c r="C616" s="59"/>
      <c r="H616" s="52"/>
      <c r="I616" s="44"/>
      <c r="J616" s="63"/>
      <c r="T616" s="52"/>
    </row>
    <row r="617">
      <c r="B617" s="50"/>
      <c r="C617" s="59"/>
      <c r="H617" s="52"/>
      <c r="I617" s="44"/>
      <c r="J617" s="63"/>
      <c r="T617" s="52"/>
    </row>
    <row r="618">
      <c r="B618" s="50"/>
      <c r="C618" s="59"/>
      <c r="H618" s="52"/>
      <c r="I618" s="44"/>
      <c r="J618" s="63"/>
      <c r="T618" s="52"/>
    </row>
    <row r="619">
      <c r="B619" s="50"/>
      <c r="C619" s="59"/>
      <c r="H619" s="52"/>
      <c r="I619" s="44"/>
      <c r="J619" s="63"/>
      <c r="T619" s="52"/>
    </row>
    <row r="620">
      <c r="B620" s="50"/>
      <c r="C620" s="59"/>
      <c r="H620" s="52"/>
      <c r="I620" s="44"/>
      <c r="J620" s="63"/>
      <c r="T620" s="52"/>
    </row>
    <row r="621">
      <c r="B621" s="50"/>
      <c r="C621" s="59"/>
      <c r="H621" s="52"/>
      <c r="I621" s="44"/>
      <c r="J621" s="63"/>
      <c r="T621" s="52"/>
    </row>
    <row r="622">
      <c r="B622" s="50"/>
      <c r="C622" s="59"/>
      <c r="H622" s="52"/>
      <c r="I622" s="44"/>
      <c r="J622" s="63"/>
      <c r="T622" s="52"/>
    </row>
    <row r="623">
      <c r="B623" s="50"/>
      <c r="C623" s="59"/>
      <c r="H623" s="52"/>
      <c r="I623" s="44"/>
      <c r="J623" s="63"/>
      <c r="T623" s="52"/>
    </row>
    <row r="624">
      <c r="B624" s="50"/>
      <c r="C624" s="59"/>
      <c r="H624" s="52"/>
      <c r="I624" s="44"/>
      <c r="J624" s="63"/>
      <c r="T624" s="52"/>
    </row>
    <row r="625">
      <c r="B625" s="50"/>
      <c r="C625" s="59"/>
      <c r="H625" s="52"/>
      <c r="I625" s="44"/>
      <c r="J625" s="63"/>
      <c r="T625" s="52"/>
    </row>
    <row r="626">
      <c r="B626" s="50"/>
      <c r="C626" s="59"/>
      <c r="H626" s="52"/>
      <c r="I626" s="44"/>
      <c r="J626" s="63"/>
      <c r="T626" s="52"/>
    </row>
    <row r="627">
      <c r="B627" s="50"/>
      <c r="C627" s="59"/>
      <c r="H627" s="52"/>
      <c r="I627" s="44"/>
      <c r="J627" s="63"/>
      <c r="T627" s="52"/>
    </row>
    <row r="628">
      <c r="B628" s="50"/>
      <c r="C628" s="59"/>
      <c r="H628" s="52"/>
      <c r="I628" s="44"/>
      <c r="J628" s="63"/>
      <c r="T628" s="52"/>
    </row>
    <row r="629">
      <c r="B629" s="50"/>
      <c r="C629" s="59"/>
      <c r="H629" s="52"/>
      <c r="I629" s="44"/>
      <c r="J629" s="63"/>
      <c r="T629" s="52"/>
    </row>
    <row r="630">
      <c r="B630" s="50"/>
      <c r="C630" s="59"/>
      <c r="H630" s="52"/>
      <c r="I630" s="44"/>
      <c r="J630" s="63"/>
      <c r="T630" s="52"/>
    </row>
    <row r="631">
      <c r="B631" s="50"/>
      <c r="C631" s="59"/>
      <c r="H631" s="52"/>
      <c r="I631" s="44"/>
      <c r="J631" s="63"/>
      <c r="T631" s="52"/>
    </row>
    <row r="632">
      <c r="B632" s="50"/>
      <c r="C632" s="59"/>
      <c r="H632" s="52"/>
      <c r="I632" s="44"/>
      <c r="J632" s="63"/>
      <c r="T632" s="52"/>
    </row>
    <row r="633">
      <c r="B633" s="50"/>
      <c r="C633" s="59"/>
      <c r="H633" s="52"/>
      <c r="I633" s="44"/>
      <c r="J633" s="63"/>
      <c r="T633" s="52"/>
    </row>
    <row r="634">
      <c r="B634" s="50"/>
      <c r="C634" s="59"/>
      <c r="H634" s="52"/>
      <c r="I634" s="44"/>
      <c r="J634" s="63"/>
      <c r="T634" s="52"/>
    </row>
    <row r="635">
      <c r="B635" s="50"/>
      <c r="C635" s="59"/>
      <c r="H635" s="52"/>
      <c r="I635" s="44"/>
      <c r="J635" s="63"/>
      <c r="T635" s="52"/>
    </row>
    <row r="636">
      <c r="B636" s="50"/>
      <c r="C636" s="59"/>
      <c r="H636" s="52"/>
      <c r="I636" s="44"/>
      <c r="J636" s="63"/>
      <c r="T636" s="52"/>
    </row>
    <row r="637">
      <c r="B637" s="50"/>
      <c r="C637" s="59"/>
      <c r="H637" s="52"/>
      <c r="I637" s="44"/>
      <c r="J637" s="63"/>
      <c r="T637" s="52"/>
    </row>
    <row r="638">
      <c r="B638" s="50"/>
      <c r="C638" s="59"/>
      <c r="H638" s="52"/>
      <c r="I638" s="44"/>
      <c r="J638" s="63"/>
      <c r="T638" s="52"/>
    </row>
    <row r="639">
      <c r="B639" s="50"/>
      <c r="C639" s="59"/>
      <c r="H639" s="52"/>
      <c r="I639" s="44"/>
      <c r="J639" s="63"/>
      <c r="T639" s="52"/>
    </row>
    <row r="640">
      <c r="B640" s="50"/>
      <c r="C640" s="59"/>
      <c r="H640" s="52"/>
      <c r="I640" s="44"/>
      <c r="J640" s="63"/>
      <c r="T640" s="52"/>
    </row>
    <row r="641">
      <c r="B641" s="50"/>
      <c r="C641" s="59"/>
      <c r="H641" s="52"/>
      <c r="I641" s="44"/>
      <c r="J641" s="63"/>
      <c r="T641" s="52"/>
    </row>
    <row r="642">
      <c r="B642" s="50"/>
      <c r="C642" s="59"/>
      <c r="H642" s="52"/>
      <c r="I642" s="44"/>
      <c r="J642" s="63"/>
      <c r="T642" s="52"/>
    </row>
    <row r="643">
      <c r="B643" s="50"/>
      <c r="C643" s="59"/>
      <c r="H643" s="52"/>
      <c r="I643" s="44"/>
      <c r="J643" s="63"/>
      <c r="T643" s="52"/>
    </row>
    <row r="644">
      <c r="B644" s="50"/>
      <c r="C644" s="59"/>
      <c r="H644" s="52"/>
      <c r="I644" s="44"/>
      <c r="J644" s="63"/>
      <c r="T644" s="52"/>
    </row>
    <row r="645">
      <c r="B645" s="50"/>
      <c r="C645" s="59"/>
      <c r="H645" s="52"/>
      <c r="I645" s="44"/>
      <c r="J645" s="63"/>
      <c r="T645" s="52"/>
    </row>
    <row r="646">
      <c r="B646" s="50"/>
      <c r="C646" s="59"/>
      <c r="H646" s="52"/>
      <c r="I646" s="44"/>
      <c r="J646" s="63"/>
      <c r="T646" s="52"/>
    </row>
    <row r="647">
      <c r="B647" s="50"/>
      <c r="C647" s="59"/>
      <c r="H647" s="52"/>
      <c r="I647" s="44"/>
      <c r="J647" s="63"/>
      <c r="T647" s="52"/>
    </row>
    <row r="648">
      <c r="B648" s="50"/>
      <c r="C648" s="59"/>
      <c r="H648" s="52"/>
      <c r="I648" s="44"/>
      <c r="J648" s="63"/>
      <c r="T648" s="52"/>
    </row>
    <row r="649">
      <c r="B649" s="50"/>
      <c r="C649" s="59"/>
      <c r="H649" s="52"/>
      <c r="I649" s="44"/>
      <c r="J649" s="63"/>
      <c r="T649" s="52"/>
    </row>
    <row r="650">
      <c r="B650" s="50"/>
      <c r="C650" s="59"/>
      <c r="H650" s="52"/>
      <c r="I650" s="44"/>
      <c r="J650" s="63"/>
      <c r="T650" s="52"/>
    </row>
    <row r="651">
      <c r="B651" s="50"/>
      <c r="C651" s="59"/>
      <c r="H651" s="52"/>
      <c r="I651" s="44"/>
      <c r="J651" s="63"/>
      <c r="T651" s="52"/>
    </row>
    <row r="652">
      <c r="B652" s="50"/>
      <c r="C652" s="59"/>
      <c r="H652" s="52"/>
      <c r="I652" s="44"/>
      <c r="J652" s="63"/>
      <c r="T652" s="52"/>
    </row>
    <row r="653">
      <c r="B653" s="50"/>
      <c r="C653" s="59"/>
      <c r="H653" s="52"/>
      <c r="I653" s="44"/>
      <c r="J653" s="63"/>
      <c r="T653" s="52"/>
    </row>
    <row r="654">
      <c r="B654" s="50"/>
      <c r="C654" s="59"/>
      <c r="H654" s="52"/>
      <c r="I654" s="44"/>
      <c r="J654" s="63"/>
      <c r="T654" s="52"/>
    </row>
    <row r="655">
      <c r="B655" s="50"/>
      <c r="C655" s="59"/>
      <c r="H655" s="52"/>
      <c r="I655" s="44"/>
      <c r="J655" s="63"/>
      <c r="T655" s="52"/>
    </row>
    <row r="656">
      <c r="B656" s="50"/>
      <c r="C656" s="59"/>
      <c r="H656" s="52"/>
      <c r="I656" s="44"/>
      <c r="J656" s="63"/>
      <c r="T656" s="52"/>
    </row>
    <row r="657">
      <c r="B657" s="50"/>
      <c r="C657" s="59"/>
      <c r="H657" s="52"/>
      <c r="I657" s="44"/>
      <c r="J657" s="63"/>
      <c r="T657" s="52"/>
    </row>
    <row r="658">
      <c r="B658" s="50"/>
      <c r="C658" s="59"/>
      <c r="H658" s="52"/>
      <c r="I658" s="44"/>
      <c r="J658" s="63"/>
      <c r="T658" s="52"/>
    </row>
    <row r="659">
      <c r="B659" s="50"/>
      <c r="C659" s="59"/>
      <c r="H659" s="52"/>
      <c r="I659" s="44"/>
      <c r="J659" s="63"/>
      <c r="T659" s="52"/>
    </row>
    <row r="660">
      <c r="B660" s="50"/>
      <c r="C660" s="59"/>
      <c r="H660" s="52"/>
      <c r="I660" s="44"/>
      <c r="J660" s="63"/>
      <c r="T660" s="52"/>
    </row>
    <row r="661">
      <c r="B661" s="50"/>
      <c r="C661" s="59"/>
      <c r="H661" s="52"/>
      <c r="I661" s="44"/>
      <c r="J661" s="63"/>
      <c r="T661" s="52"/>
    </row>
    <row r="662">
      <c r="B662" s="50"/>
      <c r="C662" s="59"/>
      <c r="H662" s="52"/>
      <c r="I662" s="44"/>
      <c r="J662" s="63"/>
      <c r="T662" s="52"/>
    </row>
    <row r="663">
      <c r="B663" s="50"/>
      <c r="C663" s="59"/>
      <c r="H663" s="52"/>
      <c r="I663" s="44"/>
      <c r="J663" s="63"/>
      <c r="T663" s="52"/>
    </row>
    <row r="664">
      <c r="B664" s="50"/>
      <c r="C664" s="59"/>
      <c r="H664" s="52"/>
      <c r="I664" s="44"/>
      <c r="J664" s="63"/>
      <c r="T664" s="52"/>
    </row>
    <row r="665">
      <c r="B665" s="50"/>
      <c r="C665" s="59"/>
      <c r="H665" s="52"/>
      <c r="I665" s="44"/>
      <c r="J665" s="63"/>
      <c r="T665" s="52"/>
    </row>
    <row r="666">
      <c r="B666" s="50"/>
      <c r="C666" s="59"/>
      <c r="H666" s="52"/>
      <c r="I666" s="44"/>
      <c r="J666" s="63"/>
      <c r="T666" s="52"/>
    </row>
    <row r="667">
      <c r="B667" s="50"/>
      <c r="C667" s="59"/>
      <c r="H667" s="52"/>
      <c r="I667" s="44"/>
      <c r="J667" s="63"/>
      <c r="T667" s="52"/>
    </row>
    <row r="668">
      <c r="B668" s="50"/>
      <c r="C668" s="59"/>
      <c r="H668" s="52"/>
      <c r="I668" s="44"/>
      <c r="J668" s="63"/>
      <c r="T668" s="52"/>
    </row>
    <row r="669">
      <c r="B669" s="50"/>
      <c r="C669" s="59"/>
      <c r="H669" s="52"/>
      <c r="I669" s="44"/>
      <c r="J669" s="63"/>
      <c r="T669" s="52"/>
    </row>
    <row r="670">
      <c r="B670" s="50"/>
      <c r="C670" s="59"/>
      <c r="H670" s="52"/>
      <c r="I670" s="44"/>
      <c r="J670" s="63"/>
      <c r="T670" s="52"/>
    </row>
    <row r="671">
      <c r="B671" s="50"/>
      <c r="C671" s="59"/>
      <c r="H671" s="52"/>
      <c r="I671" s="44"/>
      <c r="J671" s="63"/>
      <c r="T671" s="52"/>
    </row>
    <row r="672">
      <c r="B672" s="50"/>
      <c r="C672" s="59"/>
      <c r="H672" s="52"/>
      <c r="I672" s="44"/>
      <c r="J672" s="63"/>
      <c r="T672" s="52"/>
    </row>
    <row r="673">
      <c r="B673" s="50"/>
      <c r="C673" s="59"/>
      <c r="H673" s="52"/>
      <c r="I673" s="44"/>
      <c r="J673" s="63"/>
      <c r="T673" s="52"/>
    </row>
    <row r="674">
      <c r="B674" s="50"/>
      <c r="C674" s="59"/>
      <c r="H674" s="52"/>
      <c r="I674" s="44"/>
      <c r="J674" s="63"/>
      <c r="T674" s="52"/>
    </row>
    <row r="675">
      <c r="B675" s="50"/>
      <c r="C675" s="59"/>
      <c r="H675" s="52"/>
      <c r="I675" s="44"/>
      <c r="J675" s="63"/>
      <c r="T675" s="52"/>
    </row>
    <row r="676">
      <c r="B676" s="50"/>
      <c r="C676" s="59"/>
      <c r="H676" s="52"/>
      <c r="I676" s="44"/>
      <c r="J676" s="63"/>
      <c r="T676" s="52"/>
    </row>
    <row r="677">
      <c r="B677" s="50"/>
      <c r="C677" s="59"/>
      <c r="H677" s="52"/>
      <c r="I677" s="44"/>
      <c r="J677" s="63"/>
      <c r="T677" s="52"/>
    </row>
    <row r="678">
      <c r="B678" s="50"/>
      <c r="C678" s="59"/>
      <c r="H678" s="52"/>
      <c r="I678" s="44"/>
      <c r="J678" s="63"/>
      <c r="T678" s="52"/>
    </row>
    <row r="679">
      <c r="B679" s="50"/>
      <c r="C679" s="59"/>
      <c r="H679" s="52"/>
      <c r="I679" s="44"/>
      <c r="J679" s="63"/>
      <c r="T679" s="52"/>
    </row>
    <row r="680">
      <c r="B680" s="50"/>
      <c r="C680" s="59"/>
      <c r="H680" s="52"/>
      <c r="I680" s="44"/>
      <c r="J680" s="63"/>
      <c r="T680" s="52"/>
    </row>
    <row r="681">
      <c r="B681" s="50"/>
      <c r="C681" s="59"/>
      <c r="H681" s="52"/>
      <c r="I681" s="44"/>
      <c r="J681" s="63"/>
      <c r="T681" s="52"/>
    </row>
    <row r="682">
      <c r="B682" s="50"/>
      <c r="C682" s="59"/>
      <c r="H682" s="52"/>
      <c r="I682" s="44"/>
      <c r="J682" s="63"/>
      <c r="T682" s="52"/>
    </row>
    <row r="683">
      <c r="B683" s="50"/>
      <c r="C683" s="59"/>
      <c r="H683" s="52"/>
      <c r="I683" s="44"/>
      <c r="J683" s="63"/>
      <c r="T683" s="52"/>
    </row>
    <row r="684">
      <c r="B684" s="50"/>
      <c r="C684" s="59"/>
      <c r="H684" s="52"/>
      <c r="I684" s="44"/>
      <c r="J684" s="63"/>
      <c r="T684" s="52"/>
    </row>
    <row r="685">
      <c r="B685" s="50"/>
      <c r="C685" s="59"/>
      <c r="H685" s="52"/>
      <c r="I685" s="44"/>
      <c r="J685" s="63"/>
      <c r="T685" s="52"/>
    </row>
    <row r="686">
      <c r="B686" s="50"/>
      <c r="C686" s="59"/>
      <c r="H686" s="52"/>
      <c r="I686" s="44"/>
      <c r="J686" s="63"/>
      <c r="T686" s="52"/>
    </row>
    <row r="687">
      <c r="B687" s="50"/>
      <c r="C687" s="59"/>
      <c r="H687" s="52"/>
      <c r="I687" s="44"/>
      <c r="J687" s="63"/>
      <c r="T687" s="52"/>
    </row>
    <row r="688">
      <c r="B688" s="50"/>
      <c r="C688" s="59"/>
      <c r="H688" s="52"/>
      <c r="I688" s="44"/>
      <c r="J688" s="63"/>
      <c r="T688" s="52"/>
    </row>
    <row r="689">
      <c r="B689" s="50"/>
      <c r="C689" s="59"/>
      <c r="H689" s="52"/>
      <c r="I689" s="44"/>
      <c r="J689" s="63"/>
      <c r="T689" s="52"/>
    </row>
    <row r="690">
      <c r="B690" s="50"/>
      <c r="C690" s="59"/>
      <c r="H690" s="52"/>
      <c r="I690" s="44"/>
      <c r="J690" s="63"/>
      <c r="T690" s="52"/>
    </row>
    <row r="691">
      <c r="B691" s="50"/>
      <c r="C691" s="59"/>
      <c r="H691" s="52"/>
      <c r="I691" s="44"/>
      <c r="J691" s="63"/>
      <c r="T691" s="52"/>
    </row>
    <row r="692">
      <c r="B692" s="50"/>
      <c r="C692" s="59"/>
      <c r="H692" s="52"/>
      <c r="I692" s="44"/>
      <c r="J692" s="63"/>
      <c r="T692" s="52"/>
    </row>
    <row r="693">
      <c r="B693" s="50"/>
      <c r="C693" s="59"/>
      <c r="H693" s="52"/>
      <c r="I693" s="44"/>
      <c r="J693" s="63"/>
      <c r="T693" s="52"/>
    </row>
    <row r="694">
      <c r="B694" s="50"/>
      <c r="C694" s="59"/>
      <c r="H694" s="52"/>
      <c r="I694" s="44"/>
      <c r="J694" s="63"/>
      <c r="T694" s="52"/>
    </row>
    <row r="695">
      <c r="B695" s="50"/>
      <c r="C695" s="59"/>
      <c r="H695" s="52"/>
      <c r="I695" s="44"/>
      <c r="J695" s="63"/>
      <c r="T695" s="52"/>
    </row>
    <row r="696">
      <c r="B696" s="50"/>
      <c r="C696" s="59"/>
      <c r="H696" s="52"/>
      <c r="I696" s="44"/>
      <c r="J696" s="63"/>
      <c r="T696" s="52"/>
    </row>
    <row r="697">
      <c r="B697" s="50"/>
      <c r="C697" s="59"/>
      <c r="H697" s="52"/>
      <c r="I697" s="44"/>
      <c r="J697" s="63"/>
      <c r="T697" s="52"/>
    </row>
    <row r="698">
      <c r="B698" s="50"/>
      <c r="C698" s="59"/>
      <c r="H698" s="52"/>
      <c r="I698" s="44"/>
      <c r="J698" s="63"/>
      <c r="T698" s="52"/>
    </row>
    <row r="699">
      <c r="B699" s="50"/>
      <c r="C699" s="59"/>
      <c r="H699" s="52"/>
      <c r="I699" s="44"/>
      <c r="J699" s="63"/>
      <c r="T699" s="52"/>
    </row>
    <row r="700">
      <c r="B700" s="50"/>
      <c r="C700" s="59"/>
      <c r="H700" s="52"/>
      <c r="I700" s="44"/>
      <c r="J700" s="63"/>
      <c r="T700" s="52"/>
    </row>
    <row r="701">
      <c r="B701" s="50"/>
      <c r="C701" s="59"/>
      <c r="H701" s="52"/>
      <c r="I701" s="44"/>
      <c r="J701" s="63"/>
      <c r="T701" s="52"/>
    </row>
    <row r="702">
      <c r="B702" s="50"/>
      <c r="C702" s="59"/>
      <c r="H702" s="52"/>
      <c r="I702" s="44"/>
      <c r="J702" s="63"/>
      <c r="T702" s="52"/>
    </row>
    <row r="703">
      <c r="B703" s="50"/>
      <c r="C703" s="59"/>
      <c r="H703" s="52"/>
      <c r="I703" s="44"/>
      <c r="J703" s="63"/>
      <c r="T703" s="52"/>
    </row>
    <row r="704">
      <c r="B704" s="50"/>
      <c r="C704" s="59"/>
      <c r="H704" s="52"/>
      <c r="I704" s="44"/>
      <c r="J704" s="63"/>
      <c r="T704" s="52"/>
    </row>
    <row r="705">
      <c r="B705" s="50"/>
      <c r="C705" s="59"/>
      <c r="H705" s="52"/>
      <c r="I705" s="44"/>
      <c r="J705" s="63"/>
      <c r="T705" s="52"/>
    </row>
    <row r="706">
      <c r="B706" s="50"/>
      <c r="C706" s="59"/>
      <c r="H706" s="52"/>
      <c r="I706" s="44"/>
      <c r="J706" s="63"/>
      <c r="T706" s="52"/>
    </row>
    <row r="707">
      <c r="B707" s="50"/>
      <c r="C707" s="59"/>
      <c r="H707" s="52"/>
      <c r="I707" s="44"/>
      <c r="J707" s="63"/>
      <c r="T707" s="52"/>
    </row>
    <row r="708">
      <c r="B708" s="50"/>
      <c r="C708" s="59"/>
      <c r="H708" s="52"/>
      <c r="I708" s="44"/>
      <c r="J708" s="63"/>
      <c r="T708" s="52"/>
    </row>
    <row r="709">
      <c r="B709" s="50"/>
      <c r="C709" s="59"/>
      <c r="H709" s="52"/>
      <c r="I709" s="44"/>
      <c r="J709" s="63"/>
      <c r="T709" s="52"/>
    </row>
    <row r="710">
      <c r="B710" s="50"/>
      <c r="C710" s="59"/>
      <c r="H710" s="52"/>
      <c r="I710" s="44"/>
      <c r="J710" s="63"/>
      <c r="T710" s="52"/>
    </row>
    <row r="711">
      <c r="B711" s="50"/>
      <c r="C711" s="59"/>
      <c r="H711" s="52"/>
      <c r="I711" s="44"/>
      <c r="J711" s="63"/>
      <c r="T711" s="52"/>
    </row>
    <row r="712">
      <c r="B712" s="50"/>
      <c r="C712" s="59"/>
      <c r="H712" s="52"/>
      <c r="I712" s="44"/>
      <c r="J712" s="63"/>
      <c r="T712" s="52"/>
    </row>
    <row r="713">
      <c r="B713" s="50"/>
      <c r="C713" s="59"/>
      <c r="H713" s="52"/>
      <c r="I713" s="44"/>
      <c r="J713" s="63"/>
      <c r="T713" s="52"/>
    </row>
    <row r="714">
      <c r="B714" s="50"/>
      <c r="C714" s="59"/>
      <c r="H714" s="52"/>
      <c r="I714" s="44"/>
      <c r="J714" s="63"/>
      <c r="T714" s="52"/>
    </row>
    <row r="715">
      <c r="B715" s="50"/>
      <c r="C715" s="59"/>
      <c r="H715" s="52"/>
      <c r="I715" s="44"/>
      <c r="J715" s="63"/>
      <c r="T715" s="52"/>
    </row>
    <row r="716">
      <c r="B716" s="50"/>
      <c r="C716" s="59"/>
      <c r="H716" s="52"/>
      <c r="I716" s="44"/>
      <c r="J716" s="63"/>
      <c r="T716" s="52"/>
    </row>
    <row r="717">
      <c r="B717" s="50"/>
      <c r="C717" s="59"/>
      <c r="H717" s="52"/>
      <c r="I717" s="44"/>
      <c r="J717" s="63"/>
      <c r="T717" s="52"/>
    </row>
    <row r="718">
      <c r="B718" s="50"/>
      <c r="C718" s="59"/>
      <c r="H718" s="52"/>
      <c r="I718" s="44"/>
      <c r="J718" s="63"/>
      <c r="T718" s="52"/>
    </row>
    <row r="719">
      <c r="B719" s="50"/>
      <c r="C719" s="59"/>
      <c r="H719" s="52"/>
      <c r="I719" s="44"/>
      <c r="J719" s="63"/>
      <c r="T719" s="52"/>
    </row>
    <row r="720">
      <c r="B720" s="50"/>
      <c r="C720" s="59"/>
      <c r="H720" s="52"/>
      <c r="I720" s="44"/>
      <c r="J720" s="63"/>
      <c r="T720" s="52"/>
    </row>
    <row r="721">
      <c r="B721" s="50"/>
      <c r="C721" s="59"/>
      <c r="H721" s="52"/>
      <c r="I721" s="44"/>
      <c r="J721" s="63"/>
      <c r="T721" s="52"/>
    </row>
    <row r="722">
      <c r="B722" s="50"/>
      <c r="C722" s="59"/>
      <c r="H722" s="52"/>
      <c r="I722" s="44"/>
      <c r="J722" s="63"/>
      <c r="T722" s="52"/>
    </row>
    <row r="723">
      <c r="B723" s="50"/>
      <c r="C723" s="59"/>
      <c r="H723" s="52"/>
      <c r="I723" s="44"/>
      <c r="J723" s="63"/>
      <c r="T723" s="52"/>
    </row>
    <row r="724">
      <c r="B724" s="50"/>
      <c r="C724" s="59"/>
      <c r="H724" s="52"/>
      <c r="I724" s="44"/>
      <c r="J724" s="63"/>
      <c r="T724" s="52"/>
    </row>
    <row r="725">
      <c r="B725" s="50"/>
      <c r="C725" s="59"/>
      <c r="H725" s="52"/>
      <c r="I725" s="44"/>
      <c r="J725" s="63"/>
      <c r="T725" s="52"/>
    </row>
    <row r="726">
      <c r="B726" s="50"/>
      <c r="C726" s="59"/>
      <c r="H726" s="52"/>
      <c r="I726" s="44"/>
      <c r="J726" s="63"/>
      <c r="T726" s="52"/>
    </row>
    <row r="727">
      <c r="B727" s="50"/>
      <c r="C727" s="59"/>
      <c r="H727" s="52"/>
      <c r="I727" s="44"/>
      <c r="J727" s="63"/>
      <c r="T727" s="52"/>
    </row>
    <row r="728">
      <c r="B728" s="50"/>
      <c r="C728" s="59"/>
      <c r="H728" s="52"/>
      <c r="I728" s="44"/>
      <c r="J728" s="63"/>
      <c r="T728" s="52"/>
    </row>
    <row r="729">
      <c r="B729" s="50"/>
      <c r="C729" s="59"/>
      <c r="H729" s="52"/>
      <c r="I729" s="44"/>
      <c r="J729" s="63"/>
      <c r="T729" s="52"/>
    </row>
    <row r="730">
      <c r="B730" s="50"/>
      <c r="C730" s="59"/>
      <c r="H730" s="52"/>
      <c r="I730" s="44"/>
      <c r="J730" s="63"/>
      <c r="T730" s="52"/>
    </row>
    <row r="731">
      <c r="B731" s="50"/>
      <c r="C731" s="59"/>
      <c r="H731" s="52"/>
      <c r="I731" s="44"/>
      <c r="J731" s="63"/>
      <c r="T731" s="52"/>
    </row>
    <row r="732">
      <c r="B732" s="50"/>
      <c r="C732" s="59"/>
      <c r="H732" s="52"/>
      <c r="I732" s="44"/>
      <c r="J732" s="63"/>
      <c r="T732" s="52"/>
    </row>
    <row r="733">
      <c r="B733" s="50"/>
      <c r="C733" s="59"/>
      <c r="H733" s="52"/>
      <c r="I733" s="44"/>
      <c r="J733" s="63"/>
      <c r="T733" s="52"/>
    </row>
    <row r="734">
      <c r="B734" s="50"/>
      <c r="C734" s="59"/>
      <c r="H734" s="52"/>
      <c r="I734" s="44"/>
      <c r="J734" s="63"/>
      <c r="T734" s="52"/>
    </row>
    <row r="735">
      <c r="B735" s="50"/>
      <c r="C735" s="59"/>
      <c r="H735" s="52"/>
      <c r="I735" s="44"/>
      <c r="J735" s="63"/>
      <c r="T735" s="52"/>
    </row>
    <row r="736">
      <c r="B736" s="50"/>
      <c r="C736" s="59"/>
      <c r="H736" s="52"/>
      <c r="I736" s="44"/>
      <c r="J736" s="63"/>
      <c r="T736" s="52"/>
    </row>
    <row r="737">
      <c r="B737" s="50"/>
      <c r="C737" s="59"/>
      <c r="H737" s="52"/>
      <c r="I737" s="44"/>
      <c r="J737" s="63"/>
      <c r="T737" s="52"/>
    </row>
    <row r="738">
      <c r="B738" s="50"/>
      <c r="C738" s="59"/>
      <c r="H738" s="52"/>
      <c r="I738" s="44"/>
      <c r="J738" s="63"/>
      <c r="T738" s="52"/>
    </row>
    <row r="739">
      <c r="B739" s="50"/>
      <c r="C739" s="59"/>
      <c r="H739" s="52"/>
      <c r="I739" s="44"/>
      <c r="J739" s="63"/>
      <c r="T739" s="52"/>
    </row>
    <row r="740">
      <c r="B740" s="50"/>
      <c r="C740" s="59"/>
      <c r="H740" s="52"/>
      <c r="I740" s="44"/>
      <c r="J740" s="63"/>
      <c r="T740" s="52"/>
    </row>
    <row r="741">
      <c r="B741" s="50"/>
      <c r="C741" s="59"/>
      <c r="H741" s="52"/>
      <c r="I741" s="44"/>
      <c r="J741" s="63"/>
      <c r="T741" s="52"/>
    </row>
    <row r="742">
      <c r="B742" s="50"/>
      <c r="C742" s="59"/>
      <c r="H742" s="52"/>
      <c r="I742" s="44"/>
      <c r="J742" s="63"/>
      <c r="T742" s="52"/>
    </row>
    <row r="743">
      <c r="B743" s="50"/>
      <c r="C743" s="59"/>
      <c r="H743" s="52"/>
      <c r="I743" s="44"/>
      <c r="J743" s="63"/>
      <c r="T743" s="52"/>
    </row>
    <row r="744">
      <c r="B744" s="50"/>
      <c r="C744" s="59"/>
      <c r="H744" s="52"/>
      <c r="I744" s="44"/>
      <c r="J744" s="63"/>
      <c r="T744" s="52"/>
    </row>
    <row r="745">
      <c r="B745" s="50"/>
      <c r="C745" s="59"/>
      <c r="H745" s="52"/>
      <c r="I745" s="44"/>
      <c r="J745" s="63"/>
      <c r="T745" s="52"/>
    </row>
    <row r="746">
      <c r="B746" s="50"/>
      <c r="C746" s="59"/>
      <c r="H746" s="52"/>
      <c r="I746" s="44"/>
      <c r="J746" s="63"/>
      <c r="T746" s="52"/>
    </row>
    <row r="747">
      <c r="B747" s="50"/>
      <c r="C747" s="59"/>
      <c r="H747" s="52"/>
      <c r="I747" s="44"/>
      <c r="J747" s="63"/>
      <c r="T747" s="52"/>
    </row>
    <row r="748">
      <c r="B748" s="50"/>
      <c r="C748" s="59"/>
      <c r="H748" s="52"/>
      <c r="I748" s="44"/>
      <c r="J748" s="63"/>
      <c r="T748" s="52"/>
    </row>
    <row r="749">
      <c r="B749" s="50"/>
      <c r="C749" s="59"/>
      <c r="H749" s="52"/>
      <c r="I749" s="44"/>
      <c r="J749" s="63"/>
      <c r="T749" s="52"/>
    </row>
    <row r="750">
      <c r="B750" s="50"/>
      <c r="C750" s="59"/>
      <c r="H750" s="52"/>
      <c r="I750" s="44"/>
      <c r="J750" s="63"/>
      <c r="T750" s="52"/>
    </row>
    <row r="751">
      <c r="B751" s="50"/>
      <c r="C751" s="59"/>
      <c r="H751" s="52"/>
      <c r="I751" s="44"/>
      <c r="J751" s="63"/>
      <c r="T751" s="52"/>
    </row>
    <row r="752">
      <c r="B752" s="50"/>
      <c r="C752" s="59"/>
      <c r="H752" s="52"/>
      <c r="I752" s="44"/>
      <c r="J752" s="63"/>
      <c r="T752" s="52"/>
    </row>
    <row r="753">
      <c r="B753" s="50"/>
      <c r="C753" s="59"/>
      <c r="H753" s="52"/>
      <c r="I753" s="44"/>
      <c r="J753" s="63"/>
      <c r="T753" s="52"/>
    </row>
    <row r="754">
      <c r="B754" s="50"/>
      <c r="C754" s="59"/>
      <c r="H754" s="52"/>
      <c r="I754" s="44"/>
      <c r="J754" s="63"/>
      <c r="T754" s="52"/>
    </row>
    <row r="755">
      <c r="B755" s="50"/>
      <c r="C755" s="59"/>
      <c r="H755" s="52"/>
      <c r="I755" s="44"/>
      <c r="J755" s="63"/>
      <c r="T755" s="52"/>
    </row>
    <row r="756">
      <c r="B756" s="50"/>
      <c r="C756" s="59"/>
      <c r="H756" s="52"/>
      <c r="I756" s="44"/>
      <c r="J756" s="63"/>
      <c r="T756" s="52"/>
    </row>
    <row r="757">
      <c r="B757" s="50"/>
      <c r="C757" s="59"/>
      <c r="H757" s="52"/>
      <c r="I757" s="44"/>
      <c r="J757" s="63"/>
      <c r="T757" s="52"/>
    </row>
    <row r="758">
      <c r="B758" s="50"/>
      <c r="C758" s="59"/>
      <c r="H758" s="52"/>
      <c r="I758" s="44"/>
      <c r="J758" s="63"/>
      <c r="T758" s="52"/>
    </row>
    <row r="759">
      <c r="B759" s="50"/>
      <c r="C759" s="59"/>
      <c r="H759" s="52"/>
      <c r="I759" s="44"/>
      <c r="J759" s="63"/>
      <c r="T759" s="52"/>
    </row>
    <row r="760">
      <c r="B760" s="50"/>
      <c r="C760" s="59"/>
      <c r="H760" s="52"/>
      <c r="I760" s="44"/>
      <c r="J760" s="63"/>
      <c r="T760" s="52"/>
    </row>
    <row r="761">
      <c r="B761" s="50"/>
      <c r="C761" s="59"/>
      <c r="H761" s="52"/>
      <c r="I761" s="44"/>
      <c r="J761" s="63"/>
      <c r="T761" s="52"/>
    </row>
    <row r="762">
      <c r="B762" s="50"/>
      <c r="C762" s="59"/>
      <c r="H762" s="52"/>
      <c r="I762" s="44"/>
      <c r="J762" s="63"/>
      <c r="T762" s="52"/>
    </row>
    <row r="763">
      <c r="B763" s="50"/>
      <c r="C763" s="59"/>
      <c r="H763" s="52"/>
      <c r="I763" s="44"/>
      <c r="J763" s="63"/>
      <c r="T763" s="52"/>
    </row>
    <row r="764">
      <c r="B764" s="50"/>
      <c r="C764" s="59"/>
      <c r="H764" s="52"/>
      <c r="I764" s="44"/>
      <c r="J764" s="63"/>
      <c r="T764" s="52"/>
    </row>
    <row r="765">
      <c r="B765" s="50"/>
      <c r="C765" s="59"/>
      <c r="H765" s="52"/>
      <c r="I765" s="44"/>
      <c r="J765" s="63"/>
      <c r="T765" s="52"/>
    </row>
    <row r="766">
      <c r="B766" s="50"/>
      <c r="C766" s="59"/>
      <c r="H766" s="52"/>
      <c r="I766" s="44"/>
      <c r="J766" s="63"/>
      <c r="T766" s="52"/>
    </row>
    <row r="767">
      <c r="B767" s="50"/>
      <c r="C767" s="59"/>
      <c r="H767" s="52"/>
      <c r="I767" s="44"/>
      <c r="J767" s="63"/>
      <c r="T767" s="52"/>
    </row>
    <row r="768">
      <c r="B768" s="50"/>
      <c r="C768" s="59"/>
      <c r="H768" s="52"/>
      <c r="I768" s="44"/>
      <c r="J768" s="63"/>
      <c r="T768" s="52"/>
    </row>
    <row r="769">
      <c r="B769" s="50"/>
      <c r="C769" s="59"/>
      <c r="H769" s="52"/>
      <c r="I769" s="44"/>
      <c r="J769" s="63"/>
      <c r="T769" s="52"/>
    </row>
    <row r="770">
      <c r="B770" s="50"/>
      <c r="C770" s="59"/>
      <c r="H770" s="52"/>
      <c r="I770" s="44"/>
      <c r="J770" s="63"/>
      <c r="T770" s="52"/>
    </row>
    <row r="771">
      <c r="B771" s="50"/>
      <c r="C771" s="59"/>
      <c r="H771" s="52"/>
      <c r="I771" s="44"/>
      <c r="J771" s="63"/>
      <c r="T771" s="52"/>
    </row>
    <row r="772">
      <c r="B772" s="50"/>
      <c r="C772" s="59"/>
      <c r="H772" s="52"/>
      <c r="I772" s="44"/>
      <c r="J772" s="63"/>
      <c r="T772" s="52"/>
    </row>
    <row r="773">
      <c r="B773" s="50"/>
      <c r="C773" s="59"/>
      <c r="H773" s="52"/>
      <c r="I773" s="44"/>
      <c r="J773" s="63"/>
      <c r="T773" s="52"/>
    </row>
    <row r="774">
      <c r="B774" s="50"/>
      <c r="C774" s="59"/>
      <c r="H774" s="52"/>
      <c r="I774" s="44"/>
      <c r="J774" s="63"/>
      <c r="T774" s="52"/>
    </row>
    <row r="775">
      <c r="B775" s="50"/>
      <c r="C775" s="59"/>
      <c r="H775" s="52"/>
      <c r="I775" s="44"/>
      <c r="J775" s="63"/>
      <c r="T775" s="52"/>
    </row>
    <row r="776">
      <c r="B776" s="50"/>
      <c r="C776" s="59"/>
      <c r="H776" s="52"/>
      <c r="I776" s="44"/>
      <c r="J776" s="63"/>
      <c r="T776" s="52"/>
    </row>
    <row r="777">
      <c r="B777" s="50"/>
      <c r="C777" s="59"/>
      <c r="H777" s="52"/>
      <c r="I777" s="44"/>
      <c r="J777" s="63"/>
      <c r="T777" s="52"/>
    </row>
    <row r="778">
      <c r="B778" s="50"/>
      <c r="C778" s="59"/>
      <c r="H778" s="52"/>
      <c r="I778" s="44"/>
      <c r="J778" s="63"/>
      <c r="T778" s="52"/>
    </row>
    <row r="779">
      <c r="B779" s="50"/>
      <c r="C779" s="59"/>
      <c r="H779" s="52"/>
      <c r="I779" s="44"/>
      <c r="J779" s="63"/>
      <c r="T779" s="52"/>
    </row>
    <row r="780">
      <c r="B780" s="50"/>
      <c r="C780" s="59"/>
      <c r="H780" s="52"/>
      <c r="I780" s="44"/>
      <c r="J780" s="63"/>
      <c r="T780" s="52"/>
    </row>
    <row r="781">
      <c r="B781" s="50"/>
      <c r="C781" s="59"/>
      <c r="H781" s="52"/>
      <c r="I781" s="44"/>
      <c r="J781" s="63"/>
      <c r="T781" s="52"/>
    </row>
    <row r="782">
      <c r="B782" s="50"/>
      <c r="C782" s="59"/>
      <c r="H782" s="52"/>
      <c r="I782" s="44"/>
      <c r="J782" s="63"/>
      <c r="T782" s="52"/>
    </row>
    <row r="783">
      <c r="B783" s="50"/>
      <c r="C783" s="59"/>
      <c r="H783" s="52"/>
      <c r="I783" s="44"/>
      <c r="J783" s="63"/>
      <c r="T783" s="52"/>
    </row>
    <row r="784">
      <c r="B784" s="50"/>
      <c r="C784" s="59"/>
      <c r="H784" s="52"/>
      <c r="I784" s="44"/>
      <c r="J784" s="63"/>
      <c r="T784" s="52"/>
    </row>
    <row r="785">
      <c r="B785" s="50"/>
      <c r="C785" s="59"/>
      <c r="H785" s="52"/>
      <c r="I785" s="44"/>
      <c r="J785" s="63"/>
      <c r="T785" s="52"/>
    </row>
    <row r="786">
      <c r="B786" s="50"/>
      <c r="C786" s="59"/>
      <c r="H786" s="52"/>
      <c r="I786" s="44"/>
      <c r="J786" s="63"/>
      <c r="T786" s="52"/>
    </row>
    <row r="787">
      <c r="B787" s="50"/>
      <c r="C787" s="59"/>
      <c r="H787" s="52"/>
      <c r="I787" s="44"/>
      <c r="J787" s="63"/>
      <c r="T787" s="52"/>
    </row>
    <row r="788">
      <c r="B788" s="50"/>
      <c r="C788" s="59"/>
      <c r="H788" s="52"/>
      <c r="I788" s="44"/>
      <c r="J788" s="63"/>
      <c r="T788" s="52"/>
    </row>
    <row r="789">
      <c r="B789" s="50"/>
      <c r="C789" s="59"/>
      <c r="H789" s="52"/>
      <c r="I789" s="44"/>
      <c r="J789" s="63"/>
      <c r="T789" s="52"/>
    </row>
    <row r="790">
      <c r="B790" s="50"/>
      <c r="C790" s="59"/>
      <c r="H790" s="52"/>
      <c r="I790" s="44"/>
      <c r="J790" s="63"/>
      <c r="T790" s="52"/>
    </row>
    <row r="791">
      <c r="B791" s="50"/>
      <c r="C791" s="59"/>
      <c r="H791" s="52"/>
      <c r="I791" s="44"/>
      <c r="J791" s="63"/>
      <c r="T791" s="52"/>
    </row>
    <row r="792">
      <c r="B792" s="50"/>
      <c r="C792" s="59"/>
      <c r="H792" s="52"/>
      <c r="I792" s="44"/>
      <c r="J792" s="63"/>
      <c r="T792" s="52"/>
    </row>
    <row r="793">
      <c r="B793" s="50"/>
      <c r="C793" s="59"/>
      <c r="H793" s="52"/>
      <c r="I793" s="44"/>
      <c r="J793" s="63"/>
      <c r="T793" s="52"/>
    </row>
    <row r="794">
      <c r="B794" s="50"/>
      <c r="C794" s="59"/>
      <c r="H794" s="52"/>
      <c r="I794" s="44"/>
      <c r="J794" s="63"/>
      <c r="T794" s="52"/>
    </row>
    <row r="795">
      <c r="B795" s="50"/>
      <c r="C795" s="59"/>
      <c r="H795" s="52"/>
      <c r="I795" s="44"/>
      <c r="J795" s="63"/>
      <c r="T795" s="52"/>
    </row>
    <row r="796">
      <c r="B796" s="50"/>
      <c r="C796" s="59"/>
      <c r="H796" s="52"/>
      <c r="I796" s="44"/>
      <c r="J796" s="63"/>
      <c r="T796" s="52"/>
    </row>
    <row r="797">
      <c r="B797" s="50"/>
      <c r="C797" s="59"/>
      <c r="H797" s="52"/>
      <c r="I797" s="44"/>
      <c r="J797" s="63"/>
      <c r="T797" s="52"/>
    </row>
    <row r="798">
      <c r="B798" s="50"/>
      <c r="C798" s="59"/>
      <c r="H798" s="52"/>
      <c r="I798" s="44"/>
      <c r="J798" s="63"/>
      <c r="T798" s="52"/>
    </row>
    <row r="799">
      <c r="B799" s="50"/>
      <c r="C799" s="59"/>
      <c r="H799" s="52"/>
      <c r="I799" s="44"/>
      <c r="J799" s="63"/>
      <c r="T799" s="52"/>
    </row>
    <row r="800">
      <c r="B800" s="50"/>
      <c r="C800" s="59"/>
      <c r="H800" s="52"/>
      <c r="I800" s="44"/>
      <c r="J800" s="63"/>
      <c r="T800" s="52"/>
    </row>
    <row r="801">
      <c r="B801" s="50"/>
      <c r="C801" s="59"/>
      <c r="H801" s="52"/>
      <c r="I801" s="44"/>
      <c r="J801" s="63"/>
      <c r="T801" s="52"/>
    </row>
    <row r="802">
      <c r="B802" s="50"/>
      <c r="C802" s="59"/>
      <c r="H802" s="52"/>
      <c r="I802" s="44"/>
      <c r="J802" s="63"/>
      <c r="T802" s="52"/>
    </row>
    <row r="803">
      <c r="B803" s="50"/>
      <c r="C803" s="59"/>
      <c r="H803" s="52"/>
      <c r="I803" s="44"/>
      <c r="J803" s="63"/>
      <c r="T803" s="52"/>
    </row>
    <row r="804">
      <c r="B804" s="50"/>
      <c r="C804" s="59"/>
      <c r="H804" s="52"/>
      <c r="I804" s="44"/>
      <c r="J804" s="63"/>
      <c r="T804" s="52"/>
    </row>
    <row r="805">
      <c r="B805" s="50"/>
      <c r="C805" s="59"/>
      <c r="H805" s="52"/>
      <c r="I805" s="44"/>
      <c r="J805" s="63"/>
      <c r="T805" s="52"/>
    </row>
    <row r="806">
      <c r="B806" s="50"/>
      <c r="C806" s="59"/>
      <c r="H806" s="52"/>
      <c r="I806" s="44"/>
      <c r="J806" s="63"/>
      <c r="T806" s="52"/>
    </row>
    <row r="807">
      <c r="B807" s="50"/>
      <c r="C807" s="59"/>
      <c r="H807" s="52"/>
      <c r="I807" s="44"/>
      <c r="J807" s="63"/>
      <c r="T807" s="52"/>
    </row>
    <row r="808">
      <c r="B808" s="50"/>
      <c r="C808" s="59"/>
      <c r="H808" s="52"/>
      <c r="I808" s="44"/>
      <c r="J808" s="63"/>
      <c r="T808" s="52"/>
    </row>
    <row r="809">
      <c r="B809" s="50"/>
      <c r="C809" s="59"/>
      <c r="H809" s="52"/>
      <c r="I809" s="44"/>
      <c r="J809" s="63"/>
      <c r="T809" s="52"/>
    </row>
    <row r="810">
      <c r="B810" s="50"/>
      <c r="C810" s="59"/>
      <c r="H810" s="52"/>
      <c r="I810" s="44"/>
      <c r="J810" s="63"/>
      <c r="T810" s="52"/>
    </row>
    <row r="811">
      <c r="B811" s="50"/>
      <c r="C811" s="59"/>
      <c r="H811" s="52"/>
      <c r="I811" s="44"/>
      <c r="J811" s="63"/>
      <c r="T811" s="52"/>
    </row>
    <row r="812">
      <c r="B812" s="50"/>
      <c r="C812" s="59"/>
      <c r="H812" s="52"/>
      <c r="I812" s="44"/>
      <c r="J812" s="63"/>
      <c r="T812" s="52"/>
    </row>
    <row r="813">
      <c r="B813" s="50"/>
      <c r="C813" s="59"/>
      <c r="H813" s="52"/>
      <c r="I813" s="44"/>
      <c r="J813" s="63"/>
      <c r="T813" s="52"/>
    </row>
    <row r="814">
      <c r="B814" s="50"/>
      <c r="C814" s="59"/>
      <c r="H814" s="52"/>
      <c r="I814" s="44"/>
      <c r="J814" s="63"/>
      <c r="T814" s="52"/>
    </row>
    <row r="815">
      <c r="B815" s="50"/>
      <c r="C815" s="59"/>
      <c r="H815" s="52"/>
      <c r="I815" s="44"/>
      <c r="J815" s="63"/>
      <c r="T815" s="52"/>
    </row>
    <row r="816">
      <c r="B816" s="50"/>
      <c r="C816" s="59"/>
      <c r="H816" s="52"/>
      <c r="I816" s="44"/>
      <c r="J816" s="63"/>
      <c r="T816" s="52"/>
    </row>
    <row r="817">
      <c r="B817" s="50"/>
      <c r="C817" s="59"/>
      <c r="H817" s="52"/>
      <c r="I817" s="44"/>
      <c r="J817" s="63"/>
      <c r="T817" s="52"/>
    </row>
    <row r="818">
      <c r="B818" s="50"/>
      <c r="C818" s="59"/>
      <c r="H818" s="52"/>
      <c r="I818" s="44"/>
      <c r="J818" s="63"/>
      <c r="T818" s="52"/>
    </row>
    <row r="819">
      <c r="B819" s="50"/>
      <c r="C819" s="59"/>
      <c r="H819" s="52"/>
      <c r="I819" s="44"/>
      <c r="J819" s="63"/>
      <c r="T819" s="52"/>
    </row>
    <row r="820">
      <c r="B820" s="50"/>
      <c r="C820" s="59"/>
      <c r="H820" s="52"/>
      <c r="I820" s="44"/>
      <c r="J820" s="63"/>
      <c r="T820" s="52"/>
    </row>
    <row r="821">
      <c r="B821" s="50"/>
      <c r="C821" s="59"/>
      <c r="H821" s="52"/>
      <c r="I821" s="44"/>
      <c r="J821" s="63"/>
      <c r="T821" s="52"/>
    </row>
    <row r="822">
      <c r="B822" s="50"/>
      <c r="C822" s="59"/>
      <c r="H822" s="52"/>
      <c r="I822" s="44"/>
      <c r="J822" s="63"/>
      <c r="T822" s="52"/>
    </row>
    <row r="823">
      <c r="B823" s="50"/>
      <c r="C823" s="59"/>
      <c r="H823" s="52"/>
      <c r="I823" s="44"/>
      <c r="J823" s="63"/>
      <c r="T823" s="52"/>
    </row>
    <row r="824">
      <c r="B824" s="50"/>
      <c r="C824" s="59"/>
      <c r="H824" s="52"/>
      <c r="I824" s="44"/>
      <c r="J824" s="63"/>
      <c r="T824" s="52"/>
    </row>
    <row r="825">
      <c r="B825" s="50"/>
      <c r="C825" s="59"/>
      <c r="H825" s="52"/>
      <c r="I825" s="44"/>
      <c r="J825" s="63"/>
      <c r="T825" s="52"/>
    </row>
    <row r="826">
      <c r="B826" s="50"/>
      <c r="C826" s="59"/>
      <c r="H826" s="52"/>
      <c r="I826" s="44"/>
      <c r="J826" s="63"/>
      <c r="T826" s="52"/>
    </row>
    <row r="827">
      <c r="B827" s="50"/>
      <c r="C827" s="59"/>
      <c r="H827" s="52"/>
      <c r="I827" s="44"/>
      <c r="J827" s="63"/>
      <c r="T827" s="52"/>
    </row>
    <row r="828">
      <c r="B828" s="50"/>
      <c r="C828" s="59"/>
      <c r="H828" s="52"/>
      <c r="I828" s="44"/>
      <c r="J828" s="63"/>
      <c r="T828" s="52"/>
    </row>
    <row r="829">
      <c r="B829" s="50"/>
      <c r="C829" s="59"/>
      <c r="H829" s="52"/>
      <c r="I829" s="44"/>
      <c r="J829" s="63"/>
      <c r="T829" s="52"/>
    </row>
    <row r="830">
      <c r="B830" s="50"/>
      <c r="C830" s="59"/>
      <c r="H830" s="52"/>
      <c r="I830" s="44"/>
      <c r="J830" s="63"/>
      <c r="T830" s="52"/>
    </row>
    <row r="831">
      <c r="B831" s="50"/>
      <c r="C831" s="59"/>
      <c r="H831" s="52"/>
      <c r="I831" s="44"/>
      <c r="J831" s="63"/>
      <c r="T831" s="52"/>
    </row>
    <row r="832">
      <c r="B832" s="50"/>
      <c r="C832" s="59"/>
      <c r="H832" s="52"/>
      <c r="I832" s="44"/>
      <c r="J832" s="63"/>
      <c r="T832" s="52"/>
    </row>
    <row r="833">
      <c r="B833" s="50"/>
      <c r="C833" s="59"/>
      <c r="H833" s="52"/>
      <c r="I833" s="44"/>
      <c r="J833" s="63"/>
      <c r="T833" s="52"/>
    </row>
    <row r="834">
      <c r="B834" s="50"/>
      <c r="C834" s="59"/>
      <c r="H834" s="52"/>
      <c r="I834" s="44"/>
      <c r="J834" s="63"/>
      <c r="T834" s="52"/>
    </row>
    <row r="835">
      <c r="B835" s="50"/>
      <c r="C835" s="59"/>
      <c r="H835" s="52"/>
      <c r="I835" s="44"/>
      <c r="J835" s="63"/>
      <c r="T835" s="52"/>
    </row>
    <row r="836">
      <c r="B836" s="50"/>
      <c r="C836" s="59"/>
      <c r="H836" s="52"/>
      <c r="I836" s="44"/>
      <c r="J836" s="63"/>
      <c r="T836" s="52"/>
    </row>
    <row r="837">
      <c r="B837" s="50"/>
      <c r="C837" s="59"/>
      <c r="H837" s="52"/>
      <c r="I837" s="44"/>
      <c r="J837" s="63"/>
      <c r="T837" s="52"/>
    </row>
    <row r="838">
      <c r="B838" s="50"/>
      <c r="C838" s="59"/>
      <c r="H838" s="52"/>
      <c r="I838" s="44"/>
      <c r="J838" s="63"/>
      <c r="T838" s="52"/>
    </row>
    <row r="839">
      <c r="B839" s="50"/>
      <c r="C839" s="59"/>
      <c r="H839" s="52"/>
      <c r="I839" s="44"/>
      <c r="J839" s="63"/>
      <c r="T839" s="52"/>
    </row>
    <row r="840">
      <c r="B840" s="50"/>
      <c r="C840" s="59"/>
      <c r="H840" s="52"/>
      <c r="I840" s="44"/>
      <c r="J840" s="63"/>
      <c r="T840" s="52"/>
    </row>
    <row r="841">
      <c r="B841" s="50"/>
      <c r="C841" s="59"/>
      <c r="H841" s="52"/>
      <c r="I841" s="44"/>
      <c r="J841" s="63"/>
      <c r="T841" s="52"/>
    </row>
    <row r="842">
      <c r="B842" s="50"/>
      <c r="C842" s="59"/>
      <c r="H842" s="52"/>
      <c r="I842" s="44"/>
      <c r="J842" s="63"/>
      <c r="T842" s="52"/>
    </row>
    <row r="843">
      <c r="B843" s="50"/>
      <c r="C843" s="59"/>
      <c r="H843" s="52"/>
      <c r="I843" s="44"/>
      <c r="J843" s="63"/>
      <c r="T843" s="52"/>
    </row>
    <row r="844">
      <c r="B844" s="50"/>
      <c r="C844" s="59"/>
      <c r="H844" s="52"/>
      <c r="I844" s="44"/>
      <c r="J844" s="63"/>
      <c r="T844" s="52"/>
    </row>
    <row r="845">
      <c r="B845" s="50"/>
      <c r="C845" s="59"/>
      <c r="H845" s="52"/>
      <c r="I845" s="44"/>
      <c r="J845" s="63"/>
      <c r="T845" s="52"/>
    </row>
    <row r="846">
      <c r="B846" s="50"/>
      <c r="C846" s="59"/>
      <c r="H846" s="52"/>
      <c r="I846" s="44"/>
      <c r="J846" s="63"/>
      <c r="T846" s="52"/>
    </row>
    <row r="847">
      <c r="B847" s="50"/>
      <c r="C847" s="59"/>
      <c r="H847" s="52"/>
      <c r="I847" s="44"/>
      <c r="J847" s="63"/>
      <c r="T847" s="52"/>
    </row>
    <row r="848">
      <c r="B848" s="50"/>
      <c r="C848" s="59"/>
      <c r="H848" s="52"/>
      <c r="I848" s="44"/>
      <c r="J848" s="63"/>
      <c r="T848" s="52"/>
    </row>
    <row r="849">
      <c r="B849" s="50"/>
      <c r="C849" s="59"/>
      <c r="H849" s="52"/>
      <c r="I849" s="44"/>
      <c r="J849" s="63"/>
      <c r="T849" s="52"/>
    </row>
    <row r="850">
      <c r="B850" s="50"/>
      <c r="C850" s="59"/>
      <c r="H850" s="52"/>
      <c r="I850" s="44"/>
      <c r="J850" s="63"/>
      <c r="T850" s="52"/>
    </row>
    <row r="851">
      <c r="B851" s="50"/>
      <c r="C851" s="59"/>
      <c r="H851" s="52"/>
      <c r="I851" s="44"/>
      <c r="J851" s="63"/>
      <c r="T851" s="52"/>
    </row>
    <row r="852">
      <c r="B852" s="50"/>
      <c r="C852" s="59"/>
      <c r="H852" s="52"/>
      <c r="I852" s="44"/>
      <c r="J852" s="63"/>
      <c r="T852" s="52"/>
    </row>
    <row r="853">
      <c r="B853" s="50"/>
      <c r="C853" s="59"/>
      <c r="H853" s="52"/>
      <c r="I853" s="44"/>
      <c r="J853" s="63"/>
      <c r="T853" s="52"/>
    </row>
    <row r="854">
      <c r="B854" s="50"/>
      <c r="C854" s="59"/>
      <c r="H854" s="52"/>
      <c r="I854" s="44"/>
      <c r="J854" s="63"/>
      <c r="T854" s="52"/>
    </row>
    <row r="855">
      <c r="B855" s="50"/>
      <c r="C855" s="59"/>
      <c r="H855" s="52"/>
      <c r="I855" s="44"/>
      <c r="J855" s="63"/>
      <c r="T855" s="52"/>
    </row>
    <row r="856">
      <c r="B856" s="50"/>
      <c r="C856" s="59"/>
      <c r="H856" s="52"/>
      <c r="I856" s="44"/>
      <c r="J856" s="63"/>
      <c r="T856" s="52"/>
    </row>
    <row r="857">
      <c r="B857" s="50"/>
      <c r="C857" s="59"/>
      <c r="H857" s="52"/>
      <c r="I857" s="44"/>
      <c r="J857" s="63"/>
      <c r="T857" s="52"/>
    </row>
    <row r="858">
      <c r="B858" s="50"/>
      <c r="C858" s="59"/>
      <c r="H858" s="52"/>
      <c r="I858" s="44"/>
      <c r="J858" s="63"/>
      <c r="T858" s="52"/>
    </row>
    <row r="859">
      <c r="B859" s="50"/>
      <c r="C859" s="59"/>
      <c r="H859" s="52"/>
      <c r="I859" s="44"/>
      <c r="J859" s="63"/>
      <c r="T859" s="52"/>
    </row>
    <row r="860">
      <c r="B860" s="50"/>
      <c r="C860" s="59"/>
      <c r="H860" s="52"/>
      <c r="I860" s="44"/>
      <c r="J860" s="63"/>
      <c r="T860" s="52"/>
    </row>
    <row r="861">
      <c r="B861" s="50"/>
      <c r="C861" s="59"/>
      <c r="H861" s="52"/>
      <c r="I861" s="44"/>
      <c r="J861" s="63"/>
      <c r="T861" s="52"/>
    </row>
    <row r="862">
      <c r="B862" s="50"/>
      <c r="C862" s="59"/>
      <c r="H862" s="52"/>
      <c r="I862" s="44"/>
      <c r="J862" s="63"/>
      <c r="T862" s="52"/>
    </row>
    <row r="863">
      <c r="B863" s="50"/>
      <c r="C863" s="59"/>
      <c r="H863" s="52"/>
      <c r="I863" s="44"/>
      <c r="J863" s="63"/>
      <c r="T863" s="52"/>
    </row>
    <row r="864">
      <c r="B864" s="50"/>
      <c r="C864" s="59"/>
      <c r="H864" s="52"/>
      <c r="I864" s="44"/>
      <c r="J864" s="63"/>
      <c r="T864" s="52"/>
    </row>
    <row r="865">
      <c r="B865" s="50"/>
      <c r="C865" s="59"/>
      <c r="H865" s="52"/>
      <c r="I865" s="44"/>
      <c r="J865" s="63"/>
      <c r="T865" s="52"/>
    </row>
    <row r="866">
      <c r="B866" s="50"/>
      <c r="C866" s="59"/>
      <c r="H866" s="52"/>
      <c r="I866" s="44"/>
      <c r="J866" s="63"/>
      <c r="T866" s="52"/>
    </row>
    <row r="867">
      <c r="B867" s="50"/>
      <c r="C867" s="59"/>
      <c r="H867" s="52"/>
      <c r="I867" s="44"/>
      <c r="J867" s="63"/>
      <c r="T867" s="52"/>
    </row>
    <row r="868">
      <c r="B868" s="50"/>
      <c r="C868" s="59"/>
      <c r="H868" s="52"/>
      <c r="I868" s="44"/>
      <c r="J868" s="63"/>
      <c r="T868" s="52"/>
    </row>
    <row r="869">
      <c r="B869" s="50"/>
      <c r="C869" s="59"/>
      <c r="H869" s="52"/>
      <c r="I869" s="44"/>
      <c r="J869" s="63"/>
      <c r="T869" s="52"/>
    </row>
    <row r="870">
      <c r="B870" s="50"/>
      <c r="C870" s="59"/>
      <c r="H870" s="52"/>
      <c r="I870" s="44"/>
      <c r="J870" s="63"/>
      <c r="T870" s="52"/>
    </row>
    <row r="871">
      <c r="B871" s="50"/>
      <c r="C871" s="59"/>
      <c r="H871" s="52"/>
      <c r="I871" s="44"/>
      <c r="J871" s="63"/>
      <c r="T871" s="52"/>
    </row>
    <row r="872">
      <c r="B872" s="50"/>
      <c r="C872" s="59"/>
      <c r="H872" s="52"/>
      <c r="I872" s="44"/>
      <c r="J872" s="63"/>
      <c r="T872" s="52"/>
    </row>
    <row r="873">
      <c r="B873" s="50"/>
      <c r="C873" s="59"/>
      <c r="H873" s="52"/>
      <c r="I873" s="44"/>
      <c r="J873" s="63"/>
      <c r="T873" s="52"/>
    </row>
    <row r="874">
      <c r="B874" s="50"/>
      <c r="C874" s="59"/>
      <c r="H874" s="52"/>
      <c r="I874" s="44"/>
      <c r="J874" s="63"/>
      <c r="T874" s="52"/>
    </row>
    <row r="875">
      <c r="B875" s="50"/>
      <c r="C875" s="59"/>
      <c r="H875" s="52"/>
      <c r="I875" s="44"/>
      <c r="J875" s="63"/>
      <c r="T875" s="52"/>
    </row>
    <row r="876">
      <c r="B876" s="50"/>
      <c r="C876" s="59"/>
      <c r="H876" s="52"/>
      <c r="I876" s="44"/>
      <c r="J876" s="63"/>
      <c r="T876" s="52"/>
    </row>
    <row r="877">
      <c r="B877" s="50"/>
      <c r="C877" s="59"/>
      <c r="H877" s="52"/>
      <c r="I877" s="44"/>
      <c r="J877" s="63"/>
      <c r="T877" s="52"/>
    </row>
    <row r="878">
      <c r="B878" s="50"/>
      <c r="C878" s="59"/>
      <c r="H878" s="52"/>
      <c r="I878" s="44"/>
      <c r="J878" s="63"/>
      <c r="T878" s="52"/>
    </row>
    <row r="879">
      <c r="B879" s="50"/>
      <c r="C879" s="59"/>
      <c r="H879" s="52"/>
      <c r="I879" s="44"/>
      <c r="J879" s="63"/>
      <c r="T879" s="52"/>
    </row>
    <row r="880">
      <c r="B880" s="50"/>
      <c r="C880" s="59"/>
      <c r="H880" s="52"/>
      <c r="I880" s="44"/>
      <c r="J880" s="63"/>
      <c r="T880" s="52"/>
    </row>
    <row r="881">
      <c r="B881" s="50"/>
      <c r="C881" s="59"/>
      <c r="H881" s="52"/>
      <c r="I881" s="44"/>
      <c r="J881" s="63"/>
      <c r="T881" s="52"/>
    </row>
    <row r="882">
      <c r="B882" s="50"/>
      <c r="C882" s="59"/>
      <c r="H882" s="52"/>
      <c r="I882" s="44"/>
      <c r="J882" s="63"/>
      <c r="T882" s="52"/>
    </row>
    <row r="883">
      <c r="B883" s="50"/>
      <c r="C883" s="59"/>
      <c r="H883" s="52"/>
      <c r="I883" s="44"/>
      <c r="J883" s="63"/>
      <c r="T883" s="52"/>
    </row>
    <row r="884">
      <c r="B884" s="50"/>
      <c r="C884" s="59"/>
      <c r="H884" s="52"/>
      <c r="I884" s="44"/>
      <c r="J884" s="63"/>
      <c r="T884" s="52"/>
    </row>
    <row r="885">
      <c r="B885" s="50"/>
      <c r="C885" s="59"/>
      <c r="H885" s="52"/>
      <c r="I885" s="44"/>
      <c r="J885" s="63"/>
      <c r="T885" s="52"/>
    </row>
    <row r="886">
      <c r="B886" s="50"/>
      <c r="C886" s="59"/>
      <c r="H886" s="52"/>
      <c r="I886" s="44"/>
      <c r="J886" s="63"/>
      <c r="T886" s="52"/>
    </row>
    <row r="887">
      <c r="B887" s="50"/>
      <c r="C887" s="59"/>
      <c r="H887" s="52"/>
      <c r="I887" s="44"/>
      <c r="J887" s="63"/>
      <c r="T887" s="52"/>
    </row>
    <row r="888">
      <c r="B888" s="50"/>
      <c r="C888" s="59"/>
      <c r="H888" s="52"/>
      <c r="I888" s="44"/>
      <c r="J888" s="63"/>
      <c r="T888" s="52"/>
    </row>
    <row r="889">
      <c r="B889" s="50"/>
      <c r="C889" s="59"/>
      <c r="H889" s="52"/>
      <c r="I889" s="44"/>
      <c r="J889" s="63"/>
      <c r="T889" s="52"/>
    </row>
    <row r="890">
      <c r="B890" s="50"/>
      <c r="C890" s="59"/>
      <c r="H890" s="52"/>
      <c r="I890" s="44"/>
      <c r="J890" s="63"/>
      <c r="T890" s="52"/>
    </row>
    <row r="891">
      <c r="B891" s="50"/>
      <c r="C891" s="59"/>
      <c r="H891" s="52"/>
      <c r="I891" s="44"/>
      <c r="J891" s="63"/>
      <c r="T891" s="52"/>
    </row>
    <row r="892">
      <c r="B892" s="50"/>
      <c r="C892" s="59"/>
      <c r="H892" s="52"/>
      <c r="I892" s="44"/>
      <c r="J892" s="63"/>
      <c r="T892" s="52"/>
    </row>
    <row r="893">
      <c r="B893" s="50"/>
      <c r="C893" s="59"/>
      <c r="H893" s="52"/>
      <c r="I893" s="44"/>
      <c r="J893" s="63"/>
      <c r="T893" s="52"/>
    </row>
    <row r="894">
      <c r="B894" s="50"/>
      <c r="C894" s="59"/>
      <c r="H894" s="52"/>
      <c r="I894" s="44"/>
      <c r="J894" s="63"/>
      <c r="T894" s="52"/>
    </row>
    <row r="895">
      <c r="B895" s="50"/>
      <c r="C895" s="59"/>
      <c r="H895" s="52"/>
      <c r="I895" s="44"/>
      <c r="J895" s="63"/>
      <c r="T895" s="52"/>
    </row>
    <row r="896">
      <c r="B896" s="50"/>
      <c r="C896" s="59"/>
      <c r="H896" s="52"/>
      <c r="I896" s="44"/>
      <c r="J896" s="63"/>
      <c r="T896" s="52"/>
    </row>
    <row r="897">
      <c r="B897" s="50"/>
      <c r="C897" s="59"/>
      <c r="H897" s="52"/>
      <c r="I897" s="44"/>
      <c r="J897" s="63"/>
      <c r="T897" s="52"/>
    </row>
    <row r="898">
      <c r="B898" s="50"/>
      <c r="C898" s="59"/>
      <c r="H898" s="52"/>
      <c r="I898" s="44"/>
      <c r="J898" s="63"/>
      <c r="T898" s="52"/>
    </row>
    <row r="899">
      <c r="B899" s="50"/>
      <c r="C899" s="59"/>
      <c r="H899" s="52"/>
      <c r="I899" s="44"/>
      <c r="J899" s="63"/>
      <c r="T899" s="52"/>
    </row>
    <row r="900">
      <c r="B900" s="50"/>
      <c r="C900" s="59"/>
      <c r="H900" s="52"/>
      <c r="I900" s="44"/>
      <c r="J900" s="63"/>
      <c r="T900" s="52"/>
    </row>
    <row r="901">
      <c r="B901" s="50"/>
      <c r="C901" s="59"/>
      <c r="H901" s="52"/>
      <c r="I901" s="44"/>
      <c r="J901" s="63"/>
      <c r="T901" s="52"/>
    </row>
    <row r="902">
      <c r="B902" s="50"/>
      <c r="C902" s="59"/>
      <c r="H902" s="52"/>
      <c r="I902" s="44"/>
      <c r="J902" s="63"/>
      <c r="T902" s="52"/>
    </row>
    <row r="903">
      <c r="B903" s="50"/>
      <c r="C903" s="59"/>
      <c r="H903" s="52"/>
      <c r="I903" s="44"/>
      <c r="J903" s="63"/>
      <c r="T903" s="52"/>
    </row>
    <row r="904">
      <c r="B904" s="50"/>
      <c r="C904" s="59"/>
      <c r="H904" s="52"/>
      <c r="I904" s="44"/>
      <c r="J904" s="63"/>
      <c r="T904" s="52"/>
    </row>
    <row r="905">
      <c r="B905" s="50"/>
      <c r="C905" s="59"/>
      <c r="H905" s="52"/>
      <c r="I905" s="44"/>
      <c r="J905" s="63"/>
      <c r="T905" s="52"/>
    </row>
    <row r="906">
      <c r="B906" s="50"/>
      <c r="C906" s="59"/>
      <c r="H906" s="52"/>
      <c r="I906" s="44"/>
      <c r="J906" s="63"/>
      <c r="T906" s="52"/>
    </row>
    <row r="907">
      <c r="B907" s="50"/>
      <c r="C907" s="59"/>
      <c r="H907" s="52"/>
      <c r="I907" s="44"/>
      <c r="J907" s="63"/>
      <c r="T907" s="52"/>
    </row>
    <row r="908">
      <c r="B908" s="50"/>
      <c r="C908" s="59"/>
      <c r="H908" s="52"/>
      <c r="I908" s="44"/>
      <c r="J908" s="63"/>
      <c r="T908" s="52"/>
    </row>
    <row r="909">
      <c r="B909" s="50"/>
      <c r="C909" s="59"/>
      <c r="H909" s="52"/>
      <c r="I909" s="44"/>
      <c r="J909" s="63"/>
      <c r="T909" s="52"/>
    </row>
    <row r="910">
      <c r="B910" s="50"/>
      <c r="C910" s="59"/>
      <c r="H910" s="52"/>
      <c r="I910" s="44"/>
      <c r="J910" s="63"/>
      <c r="T910" s="52"/>
    </row>
    <row r="911">
      <c r="B911" s="50"/>
      <c r="C911" s="59"/>
      <c r="H911" s="52"/>
      <c r="I911" s="44"/>
      <c r="J911" s="63"/>
      <c r="T911" s="52"/>
    </row>
    <row r="912">
      <c r="B912" s="50"/>
      <c r="C912" s="59"/>
      <c r="H912" s="52"/>
      <c r="I912" s="44"/>
      <c r="J912" s="63"/>
      <c r="T912" s="52"/>
    </row>
    <row r="913">
      <c r="B913" s="50"/>
      <c r="C913" s="59"/>
      <c r="H913" s="52"/>
      <c r="I913" s="44"/>
      <c r="J913" s="63"/>
      <c r="T913" s="52"/>
    </row>
    <row r="914">
      <c r="B914" s="50"/>
      <c r="C914" s="59"/>
      <c r="H914" s="52"/>
      <c r="I914" s="44"/>
      <c r="J914" s="63"/>
      <c r="T914" s="52"/>
    </row>
    <row r="915">
      <c r="B915" s="50"/>
      <c r="C915" s="59"/>
      <c r="H915" s="52"/>
      <c r="I915" s="44"/>
      <c r="J915" s="63"/>
      <c r="T915" s="52"/>
    </row>
    <row r="916">
      <c r="B916" s="50"/>
      <c r="C916" s="59"/>
      <c r="H916" s="52"/>
      <c r="I916" s="44"/>
      <c r="J916" s="63"/>
      <c r="T916" s="52"/>
    </row>
    <row r="917">
      <c r="B917" s="50"/>
      <c r="C917" s="59"/>
      <c r="H917" s="52"/>
      <c r="I917" s="44"/>
      <c r="J917" s="63"/>
      <c r="T917" s="52"/>
    </row>
    <row r="918">
      <c r="B918" s="50"/>
      <c r="C918" s="59"/>
      <c r="H918" s="52"/>
      <c r="I918" s="44"/>
      <c r="J918" s="63"/>
      <c r="T918" s="52"/>
    </row>
    <row r="919">
      <c r="B919" s="50"/>
      <c r="C919" s="59"/>
      <c r="H919" s="52"/>
      <c r="I919" s="44"/>
      <c r="J919" s="63"/>
      <c r="T919" s="52"/>
    </row>
    <row r="920">
      <c r="B920" s="50"/>
      <c r="C920" s="59"/>
      <c r="H920" s="52"/>
      <c r="I920" s="44"/>
      <c r="J920" s="63"/>
      <c r="T920" s="52"/>
    </row>
    <row r="921">
      <c r="B921" s="50"/>
      <c r="C921" s="59"/>
      <c r="H921" s="52"/>
      <c r="I921" s="44"/>
      <c r="J921" s="63"/>
      <c r="T921" s="52"/>
    </row>
    <row r="922">
      <c r="B922" s="50"/>
      <c r="C922" s="59"/>
      <c r="H922" s="52"/>
      <c r="I922" s="44"/>
      <c r="J922" s="63"/>
      <c r="T922" s="52"/>
    </row>
    <row r="923">
      <c r="B923" s="50"/>
      <c r="C923" s="59"/>
      <c r="H923" s="52"/>
      <c r="I923" s="44"/>
      <c r="J923" s="63"/>
      <c r="T923" s="52"/>
    </row>
    <row r="924">
      <c r="B924" s="50"/>
      <c r="C924" s="59"/>
      <c r="H924" s="52"/>
      <c r="I924" s="44"/>
      <c r="J924" s="63"/>
      <c r="T924" s="52"/>
    </row>
    <row r="925">
      <c r="B925" s="50"/>
      <c r="C925" s="59"/>
      <c r="H925" s="52"/>
      <c r="I925" s="44"/>
      <c r="J925" s="63"/>
      <c r="T925" s="52"/>
    </row>
    <row r="926">
      <c r="B926" s="50"/>
      <c r="C926" s="59"/>
      <c r="H926" s="52"/>
      <c r="I926" s="44"/>
      <c r="J926" s="63"/>
      <c r="T926" s="52"/>
    </row>
    <row r="927">
      <c r="B927" s="50"/>
      <c r="C927" s="59"/>
      <c r="H927" s="52"/>
      <c r="I927" s="44"/>
      <c r="J927" s="63"/>
      <c r="T927" s="52"/>
    </row>
    <row r="928">
      <c r="B928" s="50"/>
      <c r="C928" s="59"/>
      <c r="H928" s="52"/>
      <c r="I928" s="44"/>
      <c r="J928" s="63"/>
      <c r="T928" s="52"/>
    </row>
    <row r="929">
      <c r="B929" s="50"/>
      <c r="C929" s="59"/>
      <c r="H929" s="52"/>
      <c r="I929" s="44"/>
      <c r="J929" s="63"/>
      <c r="T929" s="52"/>
    </row>
    <row r="930">
      <c r="B930" s="50"/>
      <c r="C930" s="59"/>
      <c r="H930" s="52"/>
      <c r="I930" s="44"/>
      <c r="J930" s="63"/>
      <c r="T930" s="52"/>
    </row>
    <row r="931">
      <c r="B931" s="50"/>
      <c r="C931" s="59"/>
      <c r="H931" s="52"/>
      <c r="I931" s="44"/>
      <c r="J931" s="63"/>
      <c r="T931" s="52"/>
    </row>
    <row r="932">
      <c r="B932" s="50"/>
      <c r="C932" s="59"/>
      <c r="H932" s="52"/>
      <c r="I932" s="44"/>
      <c r="J932" s="63"/>
      <c r="T932" s="52"/>
    </row>
    <row r="933">
      <c r="B933" s="50"/>
      <c r="C933" s="59"/>
      <c r="H933" s="52"/>
      <c r="I933" s="44"/>
      <c r="J933" s="63"/>
      <c r="T933" s="52"/>
    </row>
    <row r="934">
      <c r="B934" s="50"/>
      <c r="C934" s="59"/>
      <c r="H934" s="52"/>
      <c r="I934" s="44"/>
      <c r="J934" s="63"/>
      <c r="T934" s="52"/>
    </row>
    <row r="935">
      <c r="B935" s="50"/>
      <c r="C935" s="59"/>
      <c r="H935" s="52"/>
      <c r="I935" s="44"/>
      <c r="J935" s="63"/>
      <c r="T935" s="52"/>
    </row>
    <row r="936">
      <c r="B936" s="50"/>
      <c r="C936" s="59"/>
      <c r="H936" s="52"/>
      <c r="I936" s="44"/>
      <c r="J936" s="63"/>
      <c r="T936" s="52"/>
    </row>
    <row r="937">
      <c r="B937" s="50"/>
      <c r="C937" s="59"/>
      <c r="H937" s="52"/>
      <c r="I937" s="44"/>
      <c r="J937" s="63"/>
      <c r="T937" s="52"/>
    </row>
    <row r="938">
      <c r="B938" s="50"/>
      <c r="C938" s="59"/>
      <c r="H938" s="52"/>
      <c r="I938" s="44"/>
      <c r="J938" s="63"/>
      <c r="T938" s="52"/>
    </row>
    <row r="939">
      <c r="B939" s="50"/>
      <c r="C939" s="59"/>
      <c r="H939" s="52"/>
      <c r="I939" s="44"/>
      <c r="J939" s="63"/>
      <c r="T939" s="52"/>
    </row>
    <row r="940">
      <c r="B940" s="50"/>
      <c r="C940" s="59"/>
      <c r="H940" s="52"/>
      <c r="I940" s="44"/>
      <c r="J940" s="63"/>
      <c r="T940" s="52"/>
    </row>
    <row r="941">
      <c r="B941" s="50"/>
      <c r="C941" s="59"/>
      <c r="H941" s="52"/>
      <c r="I941" s="44"/>
      <c r="J941" s="63"/>
      <c r="T941" s="52"/>
    </row>
    <row r="942">
      <c r="B942" s="50"/>
      <c r="C942" s="59"/>
      <c r="H942" s="52"/>
      <c r="I942" s="44"/>
      <c r="J942" s="63"/>
      <c r="T942" s="52"/>
    </row>
    <row r="943">
      <c r="B943" s="50"/>
      <c r="C943" s="59"/>
      <c r="H943" s="52"/>
      <c r="I943" s="44"/>
      <c r="J943" s="63"/>
      <c r="T943" s="52"/>
    </row>
    <row r="944">
      <c r="B944" s="50"/>
      <c r="C944" s="59"/>
      <c r="H944" s="52"/>
      <c r="I944" s="44"/>
      <c r="J944" s="63"/>
      <c r="T944" s="52"/>
    </row>
    <row r="945">
      <c r="B945" s="50"/>
      <c r="C945" s="59"/>
      <c r="H945" s="52"/>
      <c r="I945" s="44"/>
      <c r="J945" s="63"/>
      <c r="T945" s="52"/>
    </row>
    <row r="946">
      <c r="B946" s="50"/>
      <c r="C946" s="59"/>
      <c r="H946" s="52"/>
      <c r="I946" s="44"/>
      <c r="J946" s="63"/>
      <c r="T946" s="52"/>
    </row>
    <row r="947">
      <c r="B947" s="50"/>
      <c r="C947" s="59"/>
      <c r="H947" s="52"/>
      <c r="I947" s="44"/>
      <c r="J947" s="63"/>
      <c r="T947" s="52"/>
    </row>
    <row r="948">
      <c r="B948" s="50"/>
      <c r="C948" s="59"/>
      <c r="H948" s="52"/>
      <c r="I948" s="44"/>
      <c r="J948" s="63"/>
      <c r="T948" s="52"/>
    </row>
    <row r="949">
      <c r="B949" s="50"/>
      <c r="C949" s="59"/>
      <c r="H949" s="52"/>
      <c r="I949" s="44"/>
      <c r="J949" s="63"/>
      <c r="T949" s="52"/>
    </row>
    <row r="950">
      <c r="B950" s="50"/>
      <c r="C950" s="59"/>
      <c r="H950" s="52"/>
      <c r="I950" s="44"/>
      <c r="J950" s="63"/>
      <c r="T950" s="52"/>
    </row>
    <row r="951">
      <c r="B951" s="50"/>
      <c r="C951" s="59"/>
      <c r="H951" s="52"/>
      <c r="I951" s="44"/>
      <c r="J951" s="63"/>
      <c r="T951" s="52"/>
    </row>
    <row r="952">
      <c r="B952" s="50"/>
      <c r="C952" s="59"/>
      <c r="H952" s="52"/>
      <c r="I952" s="44"/>
      <c r="J952" s="63"/>
      <c r="T952" s="52"/>
    </row>
    <row r="953">
      <c r="B953" s="50"/>
      <c r="C953" s="59"/>
      <c r="H953" s="52"/>
      <c r="I953" s="44"/>
      <c r="J953" s="63"/>
      <c r="T953" s="52"/>
    </row>
    <row r="954">
      <c r="B954" s="50"/>
      <c r="C954" s="59"/>
      <c r="H954" s="52"/>
      <c r="I954" s="44"/>
      <c r="J954" s="63"/>
      <c r="T954" s="52"/>
    </row>
    <row r="955">
      <c r="B955" s="50"/>
      <c r="C955" s="59"/>
      <c r="H955" s="52"/>
      <c r="I955" s="44"/>
      <c r="J955" s="63"/>
      <c r="T955" s="52"/>
    </row>
    <row r="956">
      <c r="B956" s="50"/>
      <c r="C956" s="59"/>
      <c r="H956" s="52"/>
      <c r="I956" s="44"/>
      <c r="J956" s="63"/>
      <c r="T956" s="52"/>
    </row>
    <row r="957">
      <c r="B957" s="50"/>
      <c r="C957" s="59"/>
      <c r="H957" s="52"/>
      <c r="I957" s="44"/>
      <c r="J957" s="63"/>
      <c r="T957" s="52"/>
    </row>
    <row r="958">
      <c r="B958" s="50"/>
      <c r="C958" s="59"/>
      <c r="H958" s="52"/>
      <c r="I958" s="44"/>
      <c r="J958" s="63"/>
      <c r="T958" s="52"/>
    </row>
    <row r="959">
      <c r="B959" s="50"/>
      <c r="C959" s="59"/>
      <c r="H959" s="52"/>
      <c r="I959" s="44"/>
      <c r="J959" s="63"/>
      <c r="T959" s="52"/>
    </row>
    <row r="960">
      <c r="B960" s="50"/>
      <c r="C960" s="59"/>
      <c r="H960" s="52"/>
      <c r="I960" s="44"/>
      <c r="J960" s="63"/>
      <c r="T960" s="52"/>
    </row>
    <row r="961">
      <c r="B961" s="50"/>
      <c r="C961" s="59"/>
      <c r="H961" s="52"/>
      <c r="I961" s="44"/>
      <c r="J961" s="63"/>
      <c r="T961" s="52"/>
    </row>
    <row r="962">
      <c r="B962" s="50"/>
      <c r="C962" s="59"/>
      <c r="H962" s="52"/>
      <c r="I962" s="44"/>
      <c r="J962" s="63"/>
      <c r="T962" s="52"/>
    </row>
    <row r="963">
      <c r="B963" s="50"/>
      <c r="C963" s="59"/>
      <c r="H963" s="52"/>
      <c r="I963" s="44"/>
      <c r="J963" s="63"/>
      <c r="T963" s="52"/>
    </row>
    <row r="964">
      <c r="B964" s="50"/>
      <c r="C964" s="59"/>
      <c r="H964" s="52"/>
      <c r="I964" s="44"/>
      <c r="J964" s="63"/>
      <c r="T964" s="52"/>
    </row>
    <row r="965">
      <c r="B965" s="50"/>
      <c r="C965" s="59"/>
      <c r="H965" s="52"/>
      <c r="I965" s="44"/>
      <c r="J965" s="63"/>
      <c r="T965" s="52"/>
    </row>
    <row r="966">
      <c r="B966" s="50"/>
      <c r="C966" s="59"/>
      <c r="H966" s="52"/>
      <c r="I966" s="44"/>
      <c r="J966" s="63"/>
      <c r="T966" s="52"/>
    </row>
    <row r="967">
      <c r="B967" s="50"/>
      <c r="C967" s="59"/>
      <c r="H967" s="52"/>
      <c r="I967" s="44"/>
      <c r="J967" s="63"/>
      <c r="T967" s="52"/>
    </row>
    <row r="968">
      <c r="B968" s="50"/>
      <c r="C968" s="59"/>
      <c r="H968" s="52"/>
      <c r="I968" s="44"/>
      <c r="J968" s="63"/>
      <c r="T968" s="52"/>
    </row>
    <row r="969">
      <c r="B969" s="50"/>
      <c r="C969" s="59"/>
      <c r="H969" s="52"/>
      <c r="I969" s="44"/>
      <c r="J969" s="63"/>
      <c r="T969" s="52"/>
    </row>
    <row r="970">
      <c r="B970" s="50"/>
      <c r="C970" s="59"/>
      <c r="H970" s="52"/>
      <c r="I970" s="44"/>
      <c r="J970" s="63"/>
      <c r="T970" s="52"/>
    </row>
    <row r="971">
      <c r="B971" s="50"/>
      <c r="C971" s="59"/>
      <c r="H971" s="52"/>
      <c r="I971" s="44"/>
      <c r="J971" s="63"/>
      <c r="T971" s="52"/>
    </row>
    <row r="972">
      <c r="B972" s="50"/>
      <c r="C972" s="59"/>
      <c r="H972" s="52"/>
      <c r="I972" s="44"/>
      <c r="J972" s="63"/>
      <c r="T972" s="52"/>
    </row>
    <row r="973">
      <c r="B973" s="50"/>
      <c r="C973" s="59"/>
      <c r="H973" s="52"/>
      <c r="I973" s="44"/>
      <c r="J973" s="63"/>
      <c r="T973" s="52"/>
    </row>
    <row r="974">
      <c r="B974" s="50"/>
      <c r="C974" s="59"/>
      <c r="H974" s="52"/>
      <c r="I974" s="44"/>
      <c r="J974" s="63"/>
      <c r="T974" s="52"/>
    </row>
    <row r="975">
      <c r="B975" s="50"/>
      <c r="C975" s="59"/>
      <c r="H975" s="52"/>
      <c r="I975" s="44"/>
      <c r="J975" s="63"/>
      <c r="T975" s="52"/>
    </row>
    <row r="976">
      <c r="B976" s="50"/>
      <c r="C976" s="59"/>
      <c r="H976" s="52"/>
      <c r="I976" s="44"/>
      <c r="J976" s="63"/>
      <c r="T976" s="52"/>
    </row>
    <row r="977">
      <c r="B977" s="50"/>
      <c r="C977" s="59"/>
      <c r="H977" s="52"/>
      <c r="I977" s="44"/>
      <c r="J977" s="63"/>
      <c r="T977" s="52"/>
    </row>
    <row r="978">
      <c r="B978" s="50"/>
      <c r="C978" s="59"/>
      <c r="H978" s="52"/>
      <c r="I978" s="44"/>
      <c r="J978" s="63"/>
      <c r="T978" s="52"/>
    </row>
    <row r="979">
      <c r="B979" s="50"/>
      <c r="C979" s="59"/>
      <c r="H979" s="52"/>
      <c r="I979" s="44"/>
      <c r="J979" s="63"/>
      <c r="T979" s="52"/>
    </row>
    <row r="980">
      <c r="B980" s="50"/>
      <c r="C980" s="59"/>
      <c r="H980" s="52"/>
      <c r="I980" s="44"/>
      <c r="J980" s="63"/>
      <c r="T980" s="52"/>
    </row>
    <row r="981">
      <c r="B981" s="50"/>
      <c r="C981" s="59"/>
      <c r="H981" s="52"/>
      <c r="I981" s="44"/>
      <c r="J981" s="63"/>
      <c r="T981" s="52"/>
    </row>
    <row r="982">
      <c r="B982" s="50"/>
      <c r="C982" s="59"/>
      <c r="H982" s="52"/>
      <c r="I982" s="44"/>
      <c r="J982" s="63"/>
      <c r="T982" s="52"/>
    </row>
    <row r="983">
      <c r="B983" s="50"/>
      <c r="C983" s="59"/>
      <c r="H983" s="52"/>
      <c r="I983" s="44"/>
      <c r="J983" s="63"/>
      <c r="T983" s="52"/>
    </row>
    <row r="984">
      <c r="B984" s="50"/>
      <c r="C984" s="59"/>
      <c r="H984" s="52"/>
      <c r="I984" s="44"/>
      <c r="J984" s="63"/>
      <c r="T984" s="52"/>
    </row>
    <row r="985">
      <c r="B985" s="50"/>
      <c r="C985" s="59"/>
      <c r="H985" s="52"/>
      <c r="I985" s="44"/>
      <c r="J985" s="63"/>
      <c r="T985" s="52"/>
    </row>
    <row r="986">
      <c r="B986" s="50"/>
      <c r="C986" s="59"/>
      <c r="H986" s="52"/>
      <c r="I986" s="44"/>
      <c r="J986" s="63"/>
      <c r="T986" s="52"/>
    </row>
    <row r="987">
      <c r="B987" s="50"/>
      <c r="C987" s="59"/>
      <c r="H987" s="52"/>
      <c r="I987" s="44"/>
      <c r="J987" s="63"/>
      <c r="T987" s="52"/>
    </row>
    <row r="988">
      <c r="B988" s="50"/>
      <c r="C988" s="59"/>
      <c r="H988" s="52"/>
      <c r="I988" s="44"/>
      <c r="J988" s="63"/>
      <c r="T988" s="52"/>
    </row>
    <row r="989">
      <c r="B989" s="50"/>
      <c r="C989" s="59"/>
      <c r="H989" s="52"/>
      <c r="I989" s="44"/>
      <c r="J989" s="63"/>
      <c r="T989" s="52"/>
    </row>
    <row r="990">
      <c r="B990" s="50"/>
      <c r="C990" s="59"/>
      <c r="H990" s="52"/>
      <c r="I990" s="44"/>
      <c r="J990" s="63"/>
      <c r="T990" s="52"/>
    </row>
    <row r="991">
      <c r="B991" s="50"/>
      <c r="C991" s="59"/>
      <c r="H991" s="52"/>
      <c r="I991" s="44"/>
      <c r="J991" s="63"/>
      <c r="T991" s="52"/>
    </row>
    <row r="992">
      <c r="B992" s="50"/>
      <c r="C992" s="59"/>
      <c r="H992" s="52"/>
      <c r="I992" s="44"/>
      <c r="J992" s="63"/>
      <c r="T992" s="52"/>
    </row>
    <row r="993">
      <c r="B993" s="50"/>
      <c r="C993" s="59"/>
      <c r="H993" s="52"/>
      <c r="I993" s="44"/>
      <c r="J993" s="63"/>
      <c r="T993" s="52"/>
    </row>
    <row r="994">
      <c r="B994" s="50"/>
      <c r="C994" s="59"/>
      <c r="H994" s="52"/>
      <c r="I994" s="44"/>
      <c r="J994" s="63"/>
      <c r="T994" s="52"/>
    </row>
    <row r="995">
      <c r="B995" s="50"/>
      <c r="C995" s="59"/>
      <c r="H995" s="52"/>
      <c r="I995" s="44"/>
      <c r="J995" s="63"/>
      <c r="T995" s="52"/>
    </row>
    <row r="996">
      <c r="B996" s="50"/>
      <c r="C996" s="59"/>
      <c r="H996" s="52"/>
      <c r="I996" s="44"/>
      <c r="J996" s="63"/>
      <c r="T996" s="52"/>
    </row>
    <row r="997">
      <c r="B997" s="50"/>
      <c r="C997" s="59"/>
      <c r="H997" s="52"/>
      <c r="I997" s="44"/>
      <c r="J997" s="63"/>
      <c r="T997" s="52"/>
    </row>
    <row r="998">
      <c r="B998" s="50"/>
      <c r="C998" s="59"/>
      <c r="H998" s="52"/>
      <c r="I998" s="44"/>
      <c r="J998" s="63"/>
      <c r="T998" s="52"/>
    </row>
    <row r="999">
      <c r="B999" s="50"/>
      <c r="C999" s="59"/>
      <c r="H999" s="52"/>
      <c r="I999" s="44"/>
      <c r="J999" s="63"/>
      <c r="T999" s="52"/>
    </row>
    <row r="1000">
      <c r="B1000" s="50"/>
      <c r="C1000" s="59"/>
      <c r="H1000" s="52"/>
      <c r="I1000" s="44"/>
      <c r="J1000" s="63"/>
      <c r="T1000" s="5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  <col customWidth="1" min="9" max="9" width="17.57"/>
    <col customWidth="1" min="18" max="18" width="32.14"/>
  </cols>
  <sheetData>
    <row r="1">
      <c r="C1" s="51" t="s">
        <v>43</v>
      </c>
      <c r="E1" s="38" t="s">
        <v>38</v>
      </c>
      <c r="F1" s="4" t="s">
        <v>150</v>
      </c>
      <c r="G1" t="str">
        <f>IFERROR(__xludf.DUMMYFUNCTION("QUERY({F:F,F:F},""select Col1, count(Col2) where Col1 != '' group by Col1 label count(Col2) 'Releases/month'"",1)"),"YYYY-MM")</f>
        <v>YYYY-MM</v>
      </c>
      <c r="H1" s="52" t="str">
        <f>IFERROR(__xludf.DUMMYFUNCTION("""COMPUTED_VALUE"""),"Releases/month")</f>
        <v>Releases/month</v>
      </c>
      <c r="I1" s="22" t="s">
        <v>43</v>
      </c>
      <c r="J1" s="20" t="s">
        <v>44</v>
      </c>
      <c r="K1" t="str">
        <f>IFERROR(__xludf.DUMMYFUNCTION("QUERY({F:F,J:J},""select Col1, sum(Col2) where Col1 != '' group by Col1 label sum(Col2) 'Commits/month'"",1)"),"YYYY-MM")</f>
        <v>YYYY-MM</v>
      </c>
      <c r="L1" t="str">
        <f>IFERROR(__xludf.DUMMYFUNCTION("""COMPUTED_VALUE"""),"Commits/month")</f>
        <v>Commits/month</v>
      </c>
      <c r="S1" t="s">
        <v>150</v>
      </c>
      <c r="T1" t="s">
        <v>46</v>
      </c>
    </row>
    <row r="2">
      <c r="C2" s="54">
        <f t="shared" ref="C2:C84" si="1">B2-$B$85</f>
        <v>-0.09120800139</v>
      </c>
      <c r="E2" s="36">
        <v>40471.0</v>
      </c>
      <c r="F2" t="str">
        <f t="shared" ref="F2:F189" si="2">TEXT(E2, "YYYY-MM")</f>
        <v>2010-10</v>
      </c>
      <c r="G2" s="55" t="str">
        <f>IFERROR(__xludf.DUMMYFUNCTION("""COMPUTED_VALUE"""),"2010-10")</f>
        <v>2010-10</v>
      </c>
      <c r="H2" s="52">
        <f>IFERROR(__xludf.DUMMYFUNCTION("""COMPUTED_VALUE"""),2.0)</f>
        <v>2</v>
      </c>
      <c r="I2" s="56">
        <f t="shared" ref="I2:I75" si="3">LOOKUP(G3, $A$1:A$84,$C$1:$C$84)</f>
        <v>-0.1084135653</v>
      </c>
      <c r="J2" s="61">
        <v>0.0</v>
      </c>
      <c r="K2" t="str">
        <f>IFERROR(__xludf.DUMMYFUNCTION("""COMPUTED_VALUE"""),"2010-10")</f>
        <v>2010-10</v>
      </c>
      <c r="L2">
        <f>IFERROR(__xludf.DUMMYFUNCTION("""COMPUTED_VALUE"""),33.0)</f>
        <v>33</v>
      </c>
      <c r="S2" t="s">
        <v>63</v>
      </c>
      <c r="T2">
        <v>2.0</v>
      </c>
      <c r="U2" s="57">
        <f t="shared" ref="U2:U68" si="4">I3-I2</f>
        <v>-0.04909636392</v>
      </c>
    </row>
    <row r="3">
      <c r="C3" s="54">
        <f t="shared" si="1"/>
        <v>-0.1084135653</v>
      </c>
      <c r="E3" s="36">
        <v>40478.0</v>
      </c>
      <c r="F3" t="str">
        <f t="shared" si="2"/>
        <v>2010-10</v>
      </c>
      <c r="G3" t="str">
        <f>IFERROR(__xludf.DUMMYFUNCTION("""COMPUTED_VALUE"""),"2010-11")</f>
        <v>2010-11</v>
      </c>
      <c r="H3" s="52">
        <f>IFERROR(__xludf.DUMMYFUNCTION("""COMPUTED_VALUE"""),4.0)</f>
        <v>4</v>
      </c>
      <c r="I3" s="56">
        <f t="shared" si="3"/>
        <v>-0.1575099292</v>
      </c>
      <c r="J3" s="61">
        <v>33.0</v>
      </c>
      <c r="K3" t="str">
        <f>IFERROR(__xludf.DUMMYFUNCTION("""COMPUTED_VALUE"""),"2010-11")</f>
        <v>2010-11</v>
      </c>
      <c r="L3">
        <f>IFERROR(__xludf.DUMMYFUNCTION("""COMPUTED_VALUE"""),150.0)</f>
        <v>150</v>
      </c>
      <c r="S3" t="s">
        <v>64</v>
      </c>
      <c r="T3">
        <v>4.0</v>
      </c>
      <c r="U3" s="57">
        <f t="shared" si="4"/>
        <v>0.1867437595</v>
      </c>
    </row>
    <row r="4">
      <c r="C4" s="54">
        <f t="shared" si="1"/>
        <v>-0.1575099292</v>
      </c>
      <c r="E4" s="36">
        <v>40485.0</v>
      </c>
      <c r="F4" t="str">
        <f t="shared" si="2"/>
        <v>2010-11</v>
      </c>
      <c r="G4" t="str">
        <f>IFERROR(__xludf.DUMMYFUNCTION("""COMPUTED_VALUE"""),"2010-12")</f>
        <v>2010-12</v>
      </c>
      <c r="H4" s="52">
        <f>IFERROR(__xludf.DUMMYFUNCTION("""COMPUTED_VALUE"""),2.0)</f>
        <v>2</v>
      </c>
      <c r="I4" s="56">
        <f t="shared" si="3"/>
        <v>0.02923383031</v>
      </c>
      <c r="J4" s="61">
        <v>34.0</v>
      </c>
      <c r="K4" t="str">
        <f>IFERROR(__xludf.DUMMYFUNCTION("""COMPUTED_VALUE"""),"2010-12")</f>
        <v>2010-12</v>
      </c>
      <c r="L4">
        <f>IFERROR(__xludf.DUMMYFUNCTION("""COMPUTED_VALUE"""),31.0)</f>
        <v>31</v>
      </c>
      <c r="S4" t="s">
        <v>65</v>
      </c>
      <c r="T4">
        <v>2.0</v>
      </c>
      <c r="U4" s="57">
        <f t="shared" si="4"/>
        <v>-0.1284482135</v>
      </c>
    </row>
    <row r="5">
      <c r="C5" s="54">
        <f t="shared" si="1"/>
        <v>0.02923383031</v>
      </c>
      <c r="E5" s="36">
        <v>40493.0</v>
      </c>
      <c r="F5" t="str">
        <f t="shared" si="2"/>
        <v>2010-11</v>
      </c>
      <c r="G5" t="str">
        <f>IFERROR(__xludf.DUMMYFUNCTION("""COMPUTED_VALUE"""),"2011-01")</f>
        <v>2011-01</v>
      </c>
      <c r="H5" s="52">
        <f>IFERROR(__xludf.DUMMYFUNCTION("""COMPUTED_VALUE"""),2.0)</f>
        <v>2</v>
      </c>
      <c r="I5" s="56">
        <f t="shared" si="3"/>
        <v>-0.09921438319</v>
      </c>
      <c r="J5" s="61">
        <v>41.0</v>
      </c>
      <c r="K5" t="str">
        <f>IFERROR(__xludf.DUMMYFUNCTION("""COMPUTED_VALUE"""),"2011-01")</f>
        <v>2011-01</v>
      </c>
      <c r="L5">
        <f>IFERROR(__xludf.DUMMYFUNCTION("""COMPUTED_VALUE"""),97.0)</f>
        <v>97</v>
      </c>
      <c r="S5" t="s">
        <v>66</v>
      </c>
      <c r="T5">
        <v>2.0</v>
      </c>
      <c r="U5" s="57">
        <f t="shared" si="4"/>
        <v>-0.0163998029</v>
      </c>
    </row>
    <row r="6">
      <c r="C6" s="54">
        <f t="shared" si="1"/>
        <v>-0.09921438319</v>
      </c>
      <c r="E6" s="36">
        <v>40501.0</v>
      </c>
      <c r="F6" t="str">
        <f t="shared" si="2"/>
        <v>2010-11</v>
      </c>
      <c r="G6" t="str">
        <f>IFERROR(__xludf.DUMMYFUNCTION("""COMPUTED_VALUE"""),"2011-02")</f>
        <v>2011-02</v>
      </c>
      <c r="H6" s="52">
        <f>IFERROR(__xludf.DUMMYFUNCTION("""COMPUTED_VALUE"""),1.0)</f>
        <v>1</v>
      </c>
      <c r="I6" s="56">
        <f t="shared" si="3"/>
        <v>-0.1156141861</v>
      </c>
      <c r="J6" s="61">
        <v>45.0</v>
      </c>
      <c r="K6" t="str">
        <f>IFERROR(__xludf.DUMMYFUNCTION("""COMPUTED_VALUE"""),"2011-02")</f>
        <v>2011-02</v>
      </c>
      <c r="L6">
        <f>IFERROR(__xludf.DUMMYFUNCTION("""COMPUTED_VALUE"""),47.0)</f>
        <v>47</v>
      </c>
      <c r="S6" t="s">
        <v>67</v>
      </c>
      <c r="T6">
        <v>1.0</v>
      </c>
      <c r="U6" s="57">
        <f t="shared" si="4"/>
        <v>0.09702343694</v>
      </c>
    </row>
    <row r="7">
      <c r="C7" s="54">
        <f t="shared" si="1"/>
        <v>-0.1156141861</v>
      </c>
      <c r="E7" s="36">
        <v>40507.0</v>
      </c>
      <c r="F7" t="str">
        <f t="shared" si="2"/>
        <v>2010-11</v>
      </c>
      <c r="G7" t="str">
        <f>IFERROR(__xludf.DUMMYFUNCTION("""COMPUTED_VALUE"""),"2011-03")</f>
        <v>2011-03</v>
      </c>
      <c r="H7" s="52">
        <f>IFERROR(__xludf.DUMMYFUNCTION("""COMPUTED_VALUE"""),2.0)</f>
        <v>2</v>
      </c>
      <c r="I7" s="56">
        <f t="shared" si="3"/>
        <v>-0.01859074915</v>
      </c>
      <c r="J7" s="61">
        <v>30.0</v>
      </c>
      <c r="K7" t="str">
        <f>IFERROR(__xludf.DUMMYFUNCTION("""COMPUTED_VALUE"""),"2011-03")</f>
        <v>2011-03</v>
      </c>
      <c r="L7">
        <f>IFERROR(__xludf.DUMMYFUNCTION("""COMPUTED_VALUE"""),78.0)</f>
        <v>78</v>
      </c>
      <c r="S7" t="s">
        <v>68</v>
      </c>
      <c r="T7">
        <v>2.0</v>
      </c>
      <c r="U7" s="57">
        <f t="shared" si="4"/>
        <v>-0.01553520957</v>
      </c>
    </row>
    <row r="8">
      <c r="C8" s="54">
        <f t="shared" si="1"/>
        <v>-0.01859074915</v>
      </c>
      <c r="E8" s="36">
        <v>40519.0</v>
      </c>
      <c r="F8" t="str">
        <f t="shared" si="2"/>
        <v>2010-12</v>
      </c>
      <c r="G8" t="str">
        <f>IFERROR(__xludf.DUMMYFUNCTION("""COMPUTED_VALUE"""),"2011-04")</f>
        <v>2011-04</v>
      </c>
      <c r="H8" s="52">
        <f>IFERROR(__xludf.DUMMYFUNCTION("""COMPUTED_VALUE"""),2.0)</f>
        <v>2</v>
      </c>
      <c r="I8" s="56">
        <f t="shared" si="3"/>
        <v>-0.03412595872</v>
      </c>
      <c r="J8" s="61">
        <v>19.0</v>
      </c>
      <c r="K8" t="str">
        <f>IFERROR(__xludf.DUMMYFUNCTION("""COMPUTED_VALUE"""),"2011-04")</f>
        <v>2011-04</v>
      </c>
      <c r="L8">
        <f>IFERROR(__xludf.DUMMYFUNCTION("""COMPUTED_VALUE"""),46.0)</f>
        <v>46</v>
      </c>
      <c r="S8" t="s">
        <v>69</v>
      </c>
      <c r="T8">
        <v>2.0</v>
      </c>
      <c r="U8" s="57">
        <f t="shared" si="4"/>
        <v>-0.04035794291</v>
      </c>
    </row>
    <row r="9">
      <c r="C9" s="54">
        <f t="shared" si="1"/>
        <v>-0.0207968038</v>
      </c>
      <c r="E9" s="36">
        <v>40523.0</v>
      </c>
      <c r="F9" t="str">
        <f t="shared" si="2"/>
        <v>2010-12</v>
      </c>
      <c r="G9" t="str">
        <f>IFERROR(__xludf.DUMMYFUNCTION("""COMPUTED_VALUE"""),"2011-06")</f>
        <v>2011-06</v>
      </c>
      <c r="H9" s="52">
        <f>IFERROR(__xludf.DUMMYFUNCTION("""COMPUTED_VALUE"""),2.0)</f>
        <v>2</v>
      </c>
      <c r="I9" s="56">
        <f t="shared" si="3"/>
        <v>-0.07448390163</v>
      </c>
      <c r="J9" s="61">
        <v>12.0</v>
      </c>
      <c r="K9" t="str">
        <f>IFERROR(__xludf.DUMMYFUNCTION("""COMPUTED_VALUE"""),"2011-06")</f>
        <v>2011-06</v>
      </c>
      <c r="L9">
        <f>IFERROR(__xludf.DUMMYFUNCTION("""COMPUTED_VALUE"""),158.0)</f>
        <v>158</v>
      </c>
      <c r="S9" t="s">
        <v>71</v>
      </c>
      <c r="T9">
        <v>2.0</v>
      </c>
      <c r="U9" s="57">
        <f t="shared" si="4"/>
        <v>0.03932249863</v>
      </c>
    </row>
    <row r="10">
      <c r="C10" s="54">
        <f t="shared" si="1"/>
        <v>-0.03412595872</v>
      </c>
      <c r="E10" s="36">
        <v>40557.0</v>
      </c>
      <c r="F10" t="str">
        <f t="shared" si="2"/>
        <v>2011-01</v>
      </c>
      <c r="G10" t="str">
        <f>IFERROR(__xludf.DUMMYFUNCTION("""COMPUTED_VALUE"""),"2011-07")</f>
        <v>2011-07</v>
      </c>
      <c r="H10" s="52">
        <f>IFERROR(__xludf.DUMMYFUNCTION("""COMPUTED_VALUE"""),1.0)</f>
        <v>1</v>
      </c>
      <c r="I10" s="56">
        <f t="shared" si="3"/>
        <v>-0.03516140301</v>
      </c>
      <c r="J10" s="61">
        <v>49.0</v>
      </c>
      <c r="K10" t="str">
        <f>IFERROR(__xludf.DUMMYFUNCTION("""COMPUTED_VALUE"""),"2011-07")</f>
        <v>2011-07</v>
      </c>
      <c r="L10">
        <f>IFERROR(__xludf.DUMMYFUNCTION("""COMPUTED_VALUE"""),90.0)</f>
        <v>90</v>
      </c>
      <c r="S10" t="s">
        <v>72</v>
      </c>
      <c r="T10">
        <v>1.0</v>
      </c>
      <c r="U10" s="57">
        <f t="shared" si="4"/>
        <v>-0.00140066913</v>
      </c>
    </row>
    <row r="11">
      <c r="C11" s="54">
        <f t="shared" si="1"/>
        <v>-0.07448390163</v>
      </c>
      <c r="E11" s="36">
        <v>40570.0</v>
      </c>
      <c r="F11" t="str">
        <f t="shared" si="2"/>
        <v>2011-01</v>
      </c>
      <c r="G11" t="str">
        <f>IFERROR(__xludf.DUMMYFUNCTION("""COMPUTED_VALUE"""),"2011-08")</f>
        <v>2011-08</v>
      </c>
      <c r="H11" s="52">
        <f>IFERROR(__xludf.DUMMYFUNCTION("""COMPUTED_VALUE"""),1.0)</f>
        <v>1</v>
      </c>
      <c r="I11" s="56">
        <f t="shared" si="3"/>
        <v>-0.03656207214</v>
      </c>
      <c r="J11" s="61">
        <v>48.0</v>
      </c>
      <c r="K11" t="str">
        <f>IFERROR(__xludf.DUMMYFUNCTION("""COMPUTED_VALUE"""),"2011-08")</f>
        <v>2011-08</v>
      </c>
      <c r="L11">
        <f>IFERROR(__xludf.DUMMYFUNCTION("""COMPUTED_VALUE"""),0.0)</f>
        <v>0</v>
      </c>
      <c r="S11" t="s">
        <v>73</v>
      </c>
      <c r="T11">
        <v>1.0</v>
      </c>
      <c r="U11" s="57">
        <f t="shared" si="4"/>
        <v>0.007004718161</v>
      </c>
    </row>
    <row r="12">
      <c r="C12" s="54">
        <f t="shared" si="1"/>
        <v>-0.03516140301</v>
      </c>
      <c r="E12" s="36">
        <v>40583.0</v>
      </c>
      <c r="F12" t="str">
        <f t="shared" si="2"/>
        <v>2011-02</v>
      </c>
      <c r="G12" t="str">
        <f>IFERROR(__xludf.DUMMYFUNCTION("""COMPUTED_VALUE"""),"2011-09")</f>
        <v>2011-09</v>
      </c>
      <c r="H12" s="52">
        <f>IFERROR(__xludf.DUMMYFUNCTION("""COMPUTED_VALUE"""),2.0)</f>
        <v>2</v>
      </c>
      <c r="I12" s="56">
        <f t="shared" si="3"/>
        <v>-0.02955735398</v>
      </c>
      <c r="J12" s="61">
        <v>47.0</v>
      </c>
      <c r="K12" t="str">
        <f>IFERROR(__xludf.DUMMYFUNCTION("""COMPUTED_VALUE"""),"2011-09")</f>
        <v>2011-09</v>
      </c>
      <c r="L12">
        <f>IFERROR(__xludf.DUMMYFUNCTION("""COMPUTED_VALUE"""),106.0)</f>
        <v>106</v>
      </c>
      <c r="S12" t="s">
        <v>74</v>
      </c>
      <c r="T12">
        <v>2.0</v>
      </c>
      <c r="U12" s="57">
        <f t="shared" si="4"/>
        <v>-0.03873961759</v>
      </c>
    </row>
    <row r="13">
      <c r="C13" s="54">
        <f t="shared" si="1"/>
        <v>-0.03656207214</v>
      </c>
      <c r="E13" s="36">
        <v>40605.0</v>
      </c>
      <c r="F13" t="str">
        <f t="shared" si="2"/>
        <v>2011-03</v>
      </c>
      <c r="G13" t="str">
        <f>IFERROR(__xludf.DUMMYFUNCTION("""COMPUTED_VALUE"""),"2011-10")</f>
        <v>2011-10</v>
      </c>
      <c r="H13" s="52">
        <f>IFERROR(__xludf.DUMMYFUNCTION("""COMPUTED_VALUE"""),3.0)</f>
        <v>3</v>
      </c>
      <c r="I13" s="56">
        <f t="shared" si="3"/>
        <v>-0.06829697157</v>
      </c>
      <c r="J13" s="61">
        <v>59.0</v>
      </c>
      <c r="K13" t="str">
        <f>IFERROR(__xludf.DUMMYFUNCTION("""COMPUTED_VALUE"""),"2011-10")</f>
        <v>2011-10</v>
      </c>
      <c r="L13">
        <f>IFERROR(__xludf.DUMMYFUNCTION("""COMPUTED_VALUE"""),105.0)</f>
        <v>105</v>
      </c>
      <c r="S13" t="s">
        <v>75</v>
      </c>
      <c r="T13">
        <v>3.0</v>
      </c>
      <c r="U13" s="57">
        <f t="shared" si="4"/>
        <v>0.1262831265</v>
      </c>
    </row>
    <row r="14">
      <c r="C14" s="54">
        <f t="shared" si="1"/>
        <v>-0.02955735398</v>
      </c>
      <c r="E14" s="36">
        <v>40616.0</v>
      </c>
      <c r="F14" t="str">
        <f t="shared" si="2"/>
        <v>2011-03</v>
      </c>
      <c r="G14" t="str">
        <f>IFERROR(__xludf.DUMMYFUNCTION("""COMPUTED_VALUE"""),"2011-11")</f>
        <v>2011-11</v>
      </c>
      <c r="H14" s="52">
        <f>IFERROR(__xludf.DUMMYFUNCTION("""COMPUTED_VALUE"""),1.0)</f>
        <v>1</v>
      </c>
      <c r="I14" s="56">
        <f t="shared" si="3"/>
        <v>0.05798615498</v>
      </c>
      <c r="J14" s="61">
        <v>19.0</v>
      </c>
      <c r="K14" t="str">
        <f>IFERROR(__xludf.DUMMYFUNCTION("""COMPUTED_VALUE"""),"2011-11")</f>
        <v>2011-11</v>
      </c>
      <c r="L14">
        <f>IFERROR(__xludf.DUMMYFUNCTION("""COMPUTED_VALUE"""),33.0)</f>
        <v>33</v>
      </c>
      <c r="S14" t="s">
        <v>76</v>
      </c>
      <c r="T14">
        <v>1.0</v>
      </c>
      <c r="U14" s="57">
        <f t="shared" si="4"/>
        <v>-0.05877539714</v>
      </c>
    </row>
    <row r="15">
      <c r="C15" s="54">
        <f t="shared" si="1"/>
        <v>-0.06829697157</v>
      </c>
      <c r="E15" s="36">
        <v>40634.0</v>
      </c>
      <c r="F15" t="str">
        <f t="shared" si="2"/>
        <v>2011-04</v>
      </c>
      <c r="G15" t="str">
        <f>IFERROR(__xludf.DUMMYFUNCTION("""COMPUTED_VALUE"""),"2012-01")</f>
        <v>2012-01</v>
      </c>
      <c r="H15" s="52">
        <f>IFERROR(__xludf.DUMMYFUNCTION("""COMPUTED_VALUE"""),1.0)</f>
        <v>1</v>
      </c>
      <c r="I15" s="56">
        <f t="shared" si="3"/>
        <v>-0.0007892421609</v>
      </c>
      <c r="J15" s="61">
        <v>29.0</v>
      </c>
      <c r="K15" t="str">
        <f>IFERROR(__xludf.DUMMYFUNCTION("""COMPUTED_VALUE"""),"2012-01")</f>
        <v>2012-01</v>
      </c>
      <c r="L15">
        <f>IFERROR(__xludf.DUMMYFUNCTION("""COMPUTED_VALUE"""),181.0)</f>
        <v>181</v>
      </c>
      <c r="S15" t="s">
        <v>78</v>
      </c>
      <c r="T15">
        <v>1.0</v>
      </c>
      <c r="U15" s="57">
        <f t="shared" si="4"/>
        <v>-0.04119040788</v>
      </c>
    </row>
    <row r="16">
      <c r="C16" s="54">
        <f t="shared" si="1"/>
        <v>-0.02108257711</v>
      </c>
      <c r="E16" s="36">
        <v>40644.0</v>
      </c>
      <c r="F16" t="str">
        <f t="shared" si="2"/>
        <v>2011-04</v>
      </c>
      <c r="G16" t="str">
        <f>IFERROR(__xludf.DUMMYFUNCTION("""COMPUTED_VALUE"""),"2012-03")</f>
        <v>2012-03</v>
      </c>
      <c r="H16" s="52">
        <f>IFERROR(__xludf.DUMMYFUNCTION("""COMPUTED_VALUE"""),3.0)</f>
        <v>3</v>
      </c>
      <c r="I16" s="56">
        <f t="shared" si="3"/>
        <v>-0.04197965004</v>
      </c>
      <c r="J16" s="61">
        <v>17.0</v>
      </c>
      <c r="K16" t="str">
        <f>IFERROR(__xludf.DUMMYFUNCTION("""COMPUTED_VALUE"""),"2012-03")</f>
        <v>2012-03</v>
      </c>
      <c r="L16">
        <f>IFERROR(__xludf.DUMMYFUNCTION("""COMPUTED_VALUE"""),240.0)</f>
        <v>240</v>
      </c>
      <c r="S16" t="s">
        <v>80</v>
      </c>
      <c r="T16">
        <v>3.0</v>
      </c>
      <c r="U16" s="57">
        <f t="shared" si="4"/>
        <v>0.07443297574</v>
      </c>
    </row>
    <row r="17">
      <c r="C17" s="54">
        <f t="shared" si="1"/>
        <v>0.05798615498</v>
      </c>
      <c r="E17" s="36">
        <v>40701.0</v>
      </c>
      <c r="F17" t="str">
        <f t="shared" si="2"/>
        <v>2011-06</v>
      </c>
      <c r="G17" t="str">
        <f>IFERROR(__xludf.DUMMYFUNCTION("""COMPUTED_VALUE"""),"2012-04")</f>
        <v>2012-04</v>
      </c>
      <c r="H17" s="52">
        <f>IFERROR(__xludf.DUMMYFUNCTION("""COMPUTED_VALUE"""),4.0)</f>
        <v>4</v>
      </c>
      <c r="I17" s="56">
        <f t="shared" si="3"/>
        <v>0.0324533257</v>
      </c>
      <c r="J17" s="61">
        <v>101.0</v>
      </c>
      <c r="K17" t="str">
        <f>IFERROR(__xludf.DUMMYFUNCTION("""COMPUTED_VALUE"""),"2012-04")</f>
        <v>2012-04</v>
      </c>
      <c r="L17">
        <f>IFERROR(__xludf.DUMMYFUNCTION("""COMPUTED_VALUE"""),87.0)</f>
        <v>87</v>
      </c>
      <c r="S17" t="s">
        <v>81</v>
      </c>
      <c r="T17">
        <v>4.0</v>
      </c>
      <c r="U17" s="57">
        <f t="shared" si="4"/>
        <v>-0.06570479897</v>
      </c>
    </row>
    <row r="18">
      <c r="C18" s="54">
        <f t="shared" si="1"/>
        <v>-0.09023373384</v>
      </c>
      <c r="E18" s="36">
        <v>40724.0</v>
      </c>
      <c r="F18" t="str">
        <f t="shared" si="2"/>
        <v>2011-06</v>
      </c>
      <c r="G18" t="str">
        <f>IFERROR(__xludf.DUMMYFUNCTION("""COMPUTED_VALUE"""),"2012-05")</f>
        <v>2012-05</v>
      </c>
      <c r="H18" s="52">
        <f>IFERROR(__xludf.DUMMYFUNCTION("""COMPUTED_VALUE"""),3.0)</f>
        <v>3</v>
      </c>
      <c r="I18" s="56">
        <f t="shared" si="3"/>
        <v>-0.03325147327</v>
      </c>
      <c r="J18" s="61">
        <v>57.0</v>
      </c>
      <c r="K18" t="str">
        <f>IFERROR(__xludf.DUMMYFUNCTION("""COMPUTED_VALUE"""),"2012-05")</f>
        <v>2012-05</v>
      </c>
      <c r="L18">
        <f>IFERROR(__xludf.DUMMYFUNCTION("""COMPUTED_VALUE"""),49.0)</f>
        <v>49</v>
      </c>
      <c r="S18" t="s">
        <v>82</v>
      </c>
      <c r="T18">
        <v>3.0</v>
      </c>
      <c r="U18" s="57">
        <f t="shared" si="4"/>
        <v>-0.01594849267</v>
      </c>
    </row>
    <row r="19">
      <c r="C19" s="54">
        <f t="shared" si="1"/>
        <v>-0.0007892421609</v>
      </c>
      <c r="E19" s="36">
        <v>40753.0</v>
      </c>
      <c r="F19" t="str">
        <f t="shared" si="2"/>
        <v>2011-07</v>
      </c>
      <c r="G19" t="str">
        <f>IFERROR(__xludf.DUMMYFUNCTION("""COMPUTED_VALUE"""),"2012-06")</f>
        <v>2012-06</v>
      </c>
      <c r="H19" s="52">
        <f>IFERROR(__xludf.DUMMYFUNCTION("""COMPUTED_VALUE"""),4.0)</f>
        <v>4</v>
      </c>
      <c r="I19" s="56">
        <f t="shared" si="3"/>
        <v>-0.04919996594</v>
      </c>
      <c r="J19" s="61">
        <v>90.0</v>
      </c>
      <c r="K19" t="str">
        <f>IFERROR(__xludf.DUMMYFUNCTION("""COMPUTED_VALUE"""),"2012-06")</f>
        <v>2012-06</v>
      </c>
      <c r="L19">
        <f>IFERROR(__xludf.DUMMYFUNCTION("""COMPUTED_VALUE"""),69.0)</f>
        <v>69</v>
      </c>
      <c r="S19" t="s">
        <v>83</v>
      </c>
      <c r="T19">
        <v>4.0</v>
      </c>
      <c r="U19" s="57">
        <f t="shared" si="4"/>
        <v>0.0880805443</v>
      </c>
    </row>
    <row r="20">
      <c r="C20" s="54">
        <f t="shared" si="1"/>
        <v>-0.04197965004</v>
      </c>
      <c r="E20" s="36">
        <v>40775.0</v>
      </c>
      <c r="F20" t="str">
        <f t="shared" si="2"/>
        <v>2011-08</v>
      </c>
      <c r="G20" t="str">
        <f>IFERROR(__xludf.DUMMYFUNCTION("""COMPUTED_VALUE"""),"2012-08")</f>
        <v>2012-08</v>
      </c>
      <c r="H20" s="52">
        <f>IFERROR(__xludf.DUMMYFUNCTION("""COMPUTED_VALUE"""),2.0)</f>
        <v>2</v>
      </c>
      <c r="I20" s="56">
        <f t="shared" si="3"/>
        <v>0.03888057836</v>
      </c>
      <c r="J20" s="61">
        <v>0.0</v>
      </c>
      <c r="K20" t="str">
        <f>IFERROR(__xludf.DUMMYFUNCTION("""COMPUTED_VALUE"""),"2012-08")</f>
        <v>2012-08</v>
      </c>
      <c r="L20">
        <f>IFERROR(__xludf.DUMMYFUNCTION("""COMPUTED_VALUE"""),108.0)</f>
        <v>108</v>
      </c>
      <c r="S20" t="s">
        <v>85</v>
      </c>
      <c r="T20">
        <v>2.0</v>
      </c>
      <c r="U20" s="57">
        <f t="shared" si="4"/>
        <v>-0.01970608551</v>
      </c>
    </row>
    <row r="21">
      <c r="C21" s="54">
        <f t="shared" si="1"/>
        <v>0.0324533257</v>
      </c>
      <c r="E21" s="36">
        <v>40788.0</v>
      </c>
      <c r="F21" t="str">
        <f t="shared" si="2"/>
        <v>2011-09</v>
      </c>
      <c r="G21" t="str">
        <f>IFERROR(__xludf.DUMMYFUNCTION("""COMPUTED_VALUE"""),"2012-11")</f>
        <v>2012-11</v>
      </c>
      <c r="H21" s="52">
        <f>IFERROR(__xludf.DUMMYFUNCTION("""COMPUTED_VALUE"""),2.0)</f>
        <v>2</v>
      </c>
      <c r="I21" s="56">
        <f t="shared" si="3"/>
        <v>0.01917449285</v>
      </c>
      <c r="J21" s="61">
        <v>81.0</v>
      </c>
      <c r="K21" t="str">
        <f>IFERROR(__xludf.DUMMYFUNCTION("""COMPUTED_VALUE"""),"2012-11")</f>
        <v>2012-11</v>
      </c>
      <c r="L21">
        <f>IFERROR(__xludf.DUMMYFUNCTION("""COMPUTED_VALUE"""),135.0)</f>
        <v>135</v>
      </c>
      <c r="S21" t="s">
        <v>88</v>
      </c>
      <c r="T21">
        <v>2.0</v>
      </c>
      <c r="U21" s="57">
        <f t="shared" si="4"/>
        <v>0.008232710801</v>
      </c>
    </row>
    <row r="22">
      <c r="C22" s="54">
        <f t="shared" si="1"/>
        <v>-0.03325147327</v>
      </c>
      <c r="E22" s="36">
        <v>40795.0</v>
      </c>
      <c r="F22" t="str">
        <f t="shared" si="2"/>
        <v>2011-09</v>
      </c>
      <c r="G22" t="str">
        <f>IFERROR(__xludf.DUMMYFUNCTION("""COMPUTED_VALUE"""),"2013-01")</f>
        <v>2013-01</v>
      </c>
      <c r="H22" s="52">
        <f>IFERROR(__xludf.DUMMYFUNCTION("""COMPUTED_VALUE"""),2.0)</f>
        <v>2</v>
      </c>
      <c r="I22" s="56">
        <f t="shared" si="3"/>
        <v>0.02740720365</v>
      </c>
      <c r="J22" s="61">
        <v>25.0</v>
      </c>
      <c r="K22" t="str">
        <f>IFERROR(__xludf.DUMMYFUNCTION("""COMPUTED_VALUE"""),"2013-01")</f>
        <v>2013-01</v>
      </c>
      <c r="L22">
        <f>IFERROR(__xludf.DUMMYFUNCTION("""COMPUTED_VALUE"""),87.0)</f>
        <v>87</v>
      </c>
      <c r="S22" t="s">
        <v>90</v>
      </c>
      <c r="T22">
        <v>2.0</v>
      </c>
      <c r="U22" s="57">
        <f t="shared" si="4"/>
        <v>-0.05118814005</v>
      </c>
    </row>
    <row r="23">
      <c r="C23" s="54">
        <f t="shared" si="1"/>
        <v>0.02433498614</v>
      </c>
      <c r="E23" s="36">
        <v>40824.0</v>
      </c>
      <c r="F23" t="str">
        <f t="shared" si="2"/>
        <v>2011-10</v>
      </c>
      <c r="G23" t="str">
        <f>IFERROR(__xludf.DUMMYFUNCTION("""COMPUTED_VALUE"""),"2013-02")</f>
        <v>2013-02</v>
      </c>
      <c r="H23" s="52">
        <f>IFERROR(__xludf.DUMMYFUNCTION("""COMPUTED_VALUE"""),2.0)</f>
        <v>2</v>
      </c>
      <c r="I23" s="56">
        <f t="shared" si="3"/>
        <v>-0.02378093641</v>
      </c>
      <c r="J23" s="61">
        <v>38.0</v>
      </c>
      <c r="K23" t="str">
        <f>IFERROR(__xludf.DUMMYFUNCTION("""COMPUTED_VALUE"""),"2013-02")</f>
        <v>2013-02</v>
      </c>
      <c r="L23">
        <f>IFERROR(__xludf.DUMMYFUNCTION("""COMPUTED_VALUE"""),69.0)</f>
        <v>69</v>
      </c>
      <c r="S23" t="s">
        <v>91</v>
      </c>
      <c r="T23">
        <v>2.0</v>
      </c>
      <c r="U23" s="57">
        <f t="shared" si="4"/>
        <v>-0.00913814814</v>
      </c>
    </row>
    <row r="24">
      <c r="C24" s="54">
        <f t="shared" si="1"/>
        <v>-0.04919996594</v>
      </c>
      <c r="E24" s="36">
        <v>40830.0</v>
      </c>
      <c r="F24" t="str">
        <f t="shared" si="2"/>
        <v>2011-10</v>
      </c>
      <c r="G24" t="str">
        <f>IFERROR(__xludf.DUMMYFUNCTION("""COMPUTED_VALUE"""),"2013-04")</f>
        <v>2013-04</v>
      </c>
      <c r="H24" s="52">
        <f>IFERROR(__xludf.DUMMYFUNCTION("""COMPUTED_VALUE"""),2.0)</f>
        <v>2</v>
      </c>
      <c r="I24" s="56">
        <f t="shared" si="3"/>
        <v>-0.03291908454</v>
      </c>
      <c r="J24" s="61">
        <v>40.0</v>
      </c>
      <c r="K24" t="str">
        <f>IFERROR(__xludf.DUMMYFUNCTION("""COMPUTED_VALUE"""),"2013-04")</f>
        <v>2013-04</v>
      </c>
      <c r="L24">
        <f>IFERROR(__xludf.DUMMYFUNCTION("""COMPUTED_VALUE"""),82.0)</f>
        <v>82</v>
      </c>
      <c r="S24" t="s">
        <v>93</v>
      </c>
      <c r="T24">
        <v>2.0</v>
      </c>
      <c r="U24" s="57">
        <f t="shared" si="4"/>
        <v>0.06501374105</v>
      </c>
    </row>
    <row r="25">
      <c r="C25" s="54">
        <f t="shared" si="1"/>
        <v>-0.04409674605</v>
      </c>
      <c r="E25" s="36">
        <v>40838.0</v>
      </c>
      <c r="F25" t="str">
        <f t="shared" si="2"/>
        <v>2011-10</v>
      </c>
      <c r="G25" t="str">
        <f>IFERROR(__xludf.DUMMYFUNCTION("""COMPUTED_VALUE"""),"2013-05")</f>
        <v>2013-05</v>
      </c>
      <c r="H25" s="52">
        <f>IFERROR(__xludf.DUMMYFUNCTION("""COMPUTED_VALUE"""),2.0)</f>
        <v>2</v>
      </c>
      <c r="I25" s="56">
        <f t="shared" si="3"/>
        <v>0.03209465651</v>
      </c>
      <c r="J25" s="61">
        <v>27.0</v>
      </c>
      <c r="K25" t="str">
        <f>IFERROR(__xludf.DUMMYFUNCTION("""COMPUTED_VALUE"""),"2013-05")</f>
        <v>2013-05</v>
      </c>
      <c r="L25">
        <f>IFERROR(__xludf.DUMMYFUNCTION("""COMPUTED_VALUE"""),179.0)</f>
        <v>179</v>
      </c>
      <c r="S25" t="s">
        <v>94</v>
      </c>
      <c r="T25">
        <v>2.0</v>
      </c>
      <c r="U25" s="57">
        <f t="shared" si="4"/>
        <v>-0.02304280956</v>
      </c>
    </row>
    <row r="26">
      <c r="C26" s="54">
        <f t="shared" si="1"/>
        <v>0.003781714814</v>
      </c>
      <c r="E26" s="36">
        <v>40855.0</v>
      </c>
      <c r="F26" t="str">
        <f t="shared" si="2"/>
        <v>2011-11</v>
      </c>
      <c r="G26" t="str">
        <f>IFERROR(__xludf.DUMMYFUNCTION("""COMPUTED_VALUE"""),"2013-08")</f>
        <v>2013-08</v>
      </c>
      <c r="H26" s="52">
        <f>IFERROR(__xludf.DUMMYFUNCTION("""COMPUTED_VALUE"""),2.0)</f>
        <v>2</v>
      </c>
      <c r="I26" s="56">
        <f t="shared" si="3"/>
        <v>0.009051846947</v>
      </c>
      <c r="J26" s="61">
        <v>33.0</v>
      </c>
      <c r="K26" t="str">
        <f>IFERROR(__xludf.DUMMYFUNCTION("""COMPUTED_VALUE"""),"2013-08")</f>
        <v>2013-08</v>
      </c>
      <c r="L26">
        <f>IFERROR(__xludf.DUMMYFUNCTION("""COMPUTED_VALUE"""),375.0)</f>
        <v>375</v>
      </c>
      <c r="S26" t="s">
        <v>97</v>
      </c>
      <c r="T26">
        <v>2.0</v>
      </c>
      <c r="U26" s="57">
        <f t="shared" si="4"/>
        <v>-0.03796094884</v>
      </c>
    </row>
    <row r="27">
      <c r="C27" s="54">
        <f t="shared" si="1"/>
        <v>0.03888057836</v>
      </c>
      <c r="E27" s="36">
        <v>40925.0</v>
      </c>
      <c r="F27" t="str">
        <f t="shared" si="2"/>
        <v>2012-01</v>
      </c>
      <c r="G27" t="str">
        <f>IFERROR(__xludf.DUMMYFUNCTION("""COMPUTED_VALUE"""),"2013-09")</f>
        <v>2013-09</v>
      </c>
      <c r="H27" s="52">
        <f>IFERROR(__xludf.DUMMYFUNCTION("""COMPUTED_VALUE"""),1.0)</f>
        <v>1</v>
      </c>
      <c r="I27" s="56">
        <f t="shared" si="3"/>
        <v>-0.02890910189</v>
      </c>
      <c r="J27" s="61">
        <v>181.0</v>
      </c>
      <c r="K27" t="str">
        <f>IFERROR(__xludf.DUMMYFUNCTION("""COMPUTED_VALUE"""),"2013-09")</f>
        <v>2013-09</v>
      </c>
      <c r="L27">
        <f>IFERROR(__xludf.DUMMYFUNCTION("""COMPUTED_VALUE"""),488.0)</f>
        <v>488</v>
      </c>
      <c r="S27" t="s">
        <v>98</v>
      </c>
      <c r="T27">
        <v>1.0</v>
      </c>
      <c r="U27" s="57">
        <f t="shared" si="4"/>
        <v>0.05805761248</v>
      </c>
    </row>
    <row r="28">
      <c r="C28" s="54">
        <f t="shared" si="1"/>
        <v>-0.02657209665</v>
      </c>
      <c r="E28" s="36">
        <v>40982.0</v>
      </c>
      <c r="F28" t="str">
        <f t="shared" si="2"/>
        <v>2012-03</v>
      </c>
      <c r="G28" t="str">
        <f>IFERROR(__xludf.DUMMYFUNCTION("""COMPUTED_VALUE"""),"2013-10")</f>
        <v>2013-10</v>
      </c>
      <c r="H28" s="52">
        <f>IFERROR(__xludf.DUMMYFUNCTION("""COMPUTED_VALUE"""),1.0)</f>
        <v>1</v>
      </c>
      <c r="I28" s="56">
        <f t="shared" si="3"/>
        <v>0.02914851059</v>
      </c>
      <c r="J28" s="61">
        <v>152.0</v>
      </c>
      <c r="K28" t="str">
        <f>IFERROR(__xludf.DUMMYFUNCTION("""COMPUTED_VALUE"""),"2013-10")</f>
        <v>2013-10</v>
      </c>
      <c r="L28">
        <f>IFERROR(__xludf.DUMMYFUNCTION("""COMPUTED_VALUE"""),255.0)</f>
        <v>255</v>
      </c>
      <c r="S28" t="s">
        <v>99</v>
      </c>
      <c r="T28">
        <v>1.0</v>
      </c>
      <c r="U28" s="57">
        <f t="shared" si="4"/>
        <v>-0.02033698581</v>
      </c>
    </row>
    <row r="29">
      <c r="C29" s="54">
        <f t="shared" si="1"/>
        <v>0.01917449285</v>
      </c>
      <c r="E29" s="36">
        <v>40988.0</v>
      </c>
      <c r="F29" t="str">
        <f t="shared" si="2"/>
        <v>2012-03</v>
      </c>
      <c r="G29" t="str">
        <f>IFERROR(__xludf.DUMMYFUNCTION("""COMPUTED_VALUE"""),"2013-11")</f>
        <v>2013-11</v>
      </c>
      <c r="H29" s="52">
        <f>IFERROR(__xludf.DUMMYFUNCTION("""COMPUTED_VALUE"""),4.0)</f>
        <v>4</v>
      </c>
      <c r="I29" s="56">
        <f t="shared" si="3"/>
        <v>0.008811524781</v>
      </c>
      <c r="J29" s="61">
        <v>40.0</v>
      </c>
      <c r="K29" t="str">
        <f>IFERROR(__xludf.DUMMYFUNCTION("""COMPUTED_VALUE"""),"2013-11")</f>
        <v>2013-11</v>
      </c>
      <c r="L29">
        <f>IFERROR(__xludf.DUMMYFUNCTION("""COMPUTED_VALUE"""),673.0)</f>
        <v>673</v>
      </c>
      <c r="S29" t="s">
        <v>100</v>
      </c>
      <c r="T29">
        <v>4.0</v>
      </c>
      <c r="U29" s="57">
        <f t="shared" si="4"/>
        <v>-0.003993860205</v>
      </c>
    </row>
    <row r="30">
      <c r="C30" s="54">
        <f t="shared" si="1"/>
        <v>0.02740720365</v>
      </c>
      <c r="E30" s="36">
        <v>40997.0</v>
      </c>
      <c r="F30" t="str">
        <f t="shared" si="2"/>
        <v>2012-03</v>
      </c>
      <c r="G30" t="str">
        <f>IFERROR(__xludf.DUMMYFUNCTION("""COMPUTED_VALUE"""),"2013-12")</f>
        <v>2013-12</v>
      </c>
      <c r="H30" s="52">
        <f>IFERROR(__xludf.DUMMYFUNCTION("""COMPUTED_VALUE"""),3.0)</f>
        <v>3</v>
      </c>
      <c r="I30" s="56">
        <f t="shared" si="3"/>
        <v>0.004817664576</v>
      </c>
      <c r="J30" s="61">
        <v>48.0</v>
      </c>
      <c r="K30" t="str">
        <f>IFERROR(__xludf.DUMMYFUNCTION("""COMPUTED_VALUE"""),"2013-12")</f>
        <v>2013-12</v>
      </c>
      <c r="L30">
        <f>IFERROR(__xludf.DUMMYFUNCTION("""COMPUTED_VALUE"""),165.0)</f>
        <v>165</v>
      </c>
      <c r="S30" t="s">
        <v>101</v>
      </c>
      <c r="T30">
        <v>3.0</v>
      </c>
      <c r="U30" s="57">
        <f t="shared" si="4"/>
        <v>0.004463793593</v>
      </c>
    </row>
    <row r="31">
      <c r="C31" s="54">
        <f t="shared" si="1"/>
        <v>0.001069549866</v>
      </c>
      <c r="E31" s="36">
        <v>41004.0</v>
      </c>
      <c r="F31" t="str">
        <f t="shared" si="2"/>
        <v>2012-04</v>
      </c>
      <c r="G31" t="str">
        <f>IFERROR(__xludf.DUMMYFUNCTION("""COMPUTED_VALUE"""),"2014-01")</f>
        <v>2014-01</v>
      </c>
      <c r="H31" s="52">
        <f>IFERROR(__xludf.DUMMYFUNCTION("""COMPUTED_VALUE"""),4.0)</f>
        <v>4</v>
      </c>
      <c r="I31" s="56">
        <f t="shared" si="3"/>
        <v>0.009281458169</v>
      </c>
      <c r="J31" s="61">
        <v>29.0</v>
      </c>
      <c r="K31" t="str">
        <f>IFERROR(__xludf.DUMMYFUNCTION("""COMPUTED_VALUE"""),"2014-01")</f>
        <v>2014-01</v>
      </c>
      <c r="L31">
        <f>IFERROR(__xludf.DUMMYFUNCTION("""COMPUTED_VALUE"""),183.0)</f>
        <v>183</v>
      </c>
      <c r="S31" t="s">
        <v>102</v>
      </c>
      <c r="T31">
        <v>4.0</v>
      </c>
      <c r="U31" s="57">
        <f t="shared" si="4"/>
        <v>-0.009761233097</v>
      </c>
    </row>
    <row r="32">
      <c r="C32" s="54">
        <f t="shared" si="1"/>
        <v>-0.02378093641</v>
      </c>
      <c r="E32" s="36">
        <v>41011.0</v>
      </c>
      <c r="F32" t="str">
        <f t="shared" si="2"/>
        <v>2012-04</v>
      </c>
      <c r="G32" t="str">
        <f>IFERROR(__xludf.DUMMYFUNCTION("""COMPUTED_VALUE"""),"2014-02")</f>
        <v>2014-02</v>
      </c>
      <c r="H32" s="52">
        <f>IFERROR(__xludf.DUMMYFUNCTION("""COMPUTED_VALUE"""),3.0)</f>
        <v>3</v>
      </c>
      <c r="I32" s="56">
        <f t="shared" si="3"/>
        <v>-0.0004797749285</v>
      </c>
      <c r="J32" s="61">
        <v>27.0</v>
      </c>
      <c r="K32" t="str">
        <f>IFERROR(__xludf.DUMMYFUNCTION("""COMPUTED_VALUE"""),"2014-02")</f>
        <v>2014-02</v>
      </c>
      <c r="L32">
        <f>IFERROR(__xludf.DUMMYFUNCTION("""COMPUTED_VALUE"""),100.0)</f>
        <v>100</v>
      </c>
      <c r="S32" t="s">
        <v>103</v>
      </c>
      <c r="T32">
        <v>3.0</v>
      </c>
      <c r="U32" s="57">
        <f t="shared" si="4"/>
        <v>0.008265571261</v>
      </c>
    </row>
    <row r="33">
      <c r="C33" s="54">
        <f t="shared" si="1"/>
        <v>-0.03291908454</v>
      </c>
      <c r="E33" s="36">
        <v>41019.0</v>
      </c>
      <c r="F33" t="str">
        <f t="shared" si="2"/>
        <v>2012-04</v>
      </c>
      <c r="G33" t="str">
        <f>IFERROR(__xludf.DUMMYFUNCTION("""COMPUTED_VALUE"""),"2014-03")</f>
        <v>2014-03</v>
      </c>
      <c r="H33" s="52">
        <f>IFERROR(__xludf.DUMMYFUNCTION("""COMPUTED_VALUE"""),6.0)</f>
        <v>6</v>
      </c>
      <c r="I33" s="56">
        <f t="shared" si="3"/>
        <v>0.007785796332</v>
      </c>
      <c r="J33" s="61">
        <v>18.0</v>
      </c>
      <c r="K33" t="str">
        <f>IFERROR(__xludf.DUMMYFUNCTION("""COMPUTED_VALUE"""),"2014-03")</f>
        <v>2014-03</v>
      </c>
      <c r="L33">
        <f>IFERROR(__xludf.DUMMYFUNCTION("""COMPUTED_VALUE"""),396.0)</f>
        <v>396</v>
      </c>
      <c r="S33" t="s">
        <v>104</v>
      </c>
      <c r="T33">
        <v>6.0</v>
      </c>
      <c r="U33" s="57">
        <f t="shared" si="4"/>
        <v>0.005537677962</v>
      </c>
    </row>
    <row r="34">
      <c r="C34" s="54">
        <f t="shared" si="1"/>
        <v>-0.02245248732</v>
      </c>
      <c r="E34" s="36">
        <v>41029.0</v>
      </c>
      <c r="F34" t="str">
        <f t="shared" si="2"/>
        <v>2012-04</v>
      </c>
      <c r="G34" t="str">
        <f>IFERROR(__xludf.DUMMYFUNCTION("""COMPUTED_VALUE"""),"2014-04")</f>
        <v>2014-04</v>
      </c>
      <c r="H34" s="52">
        <f>IFERROR(__xludf.DUMMYFUNCTION("""COMPUTED_VALUE"""),4.0)</f>
        <v>4</v>
      </c>
      <c r="I34" s="56">
        <f t="shared" si="3"/>
        <v>0.01332347429</v>
      </c>
      <c r="J34" s="61">
        <v>13.0</v>
      </c>
      <c r="K34" t="str">
        <f>IFERROR(__xludf.DUMMYFUNCTION("""COMPUTED_VALUE"""),"2014-04")</f>
        <v>2014-04</v>
      </c>
      <c r="L34">
        <f>IFERROR(__xludf.DUMMYFUNCTION("""COMPUTED_VALUE"""),113.0)</f>
        <v>113</v>
      </c>
      <c r="S34" t="s">
        <v>105</v>
      </c>
      <c r="T34">
        <v>4.0</v>
      </c>
      <c r="U34" s="57">
        <f t="shared" si="4"/>
        <v>0.01983251226</v>
      </c>
    </row>
    <row r="35">
      <c r="C35" s="54">
        <f t="shared" si="1"/>
        <v>0.03872605563</v>
      </c>
      <c r="E35" s="36">
        <v>41036.0</v>
      </c>
      <c r="F35" t="str">
        <f t="shared" si="2"/>
        <v>2012-05</v>
      </c>
      <c r="G35" t="str">
        <f>IFERROR(__xludf.DUMMYFUNCTION("""COMPUTED_VALUE"""),"2014-05")</f>
        <v>2014-05</v>
      </c>
      <c r="H35" s="52">
        <f>IFERROR(__xludf.DUMMYFUNCTION("""COMPUTED_VALUE"""),3.0)</f>
        <v>3</v>
      </c>
      <c r="I35" s="56">
        <f t="shared" si="3"/>
        <v>0.03315598655</v>
      </c>
      <c r="J35" s="61">
        <v>27.0</v>
      </c>
      <c r="K35" t="str">
        <f>IFERROR(__xludf.DUMMYFUNCTION("""COMPUTED_VALUE"""),"2014-05")</f>
        <v>2014-05</v>
      </c>
      <c r="L35">
        <f>IFERROR(__xludf.DUMMYFUNCTION("""COMPUTED_VALUE"""),149.0)</f>
        <v>149</v>
      </c>
      <c r="S35" t="s">
        <v>106</v>
      </c>
      <c r="T35">
        <v>3.0</v>
      </c>
      <c r="U35" s="57">
        <f t="shared" si="4"/>
        <v>0.01255298076</v>
      </c>
    </row>
    <row r="36">
      <c r="C36" s="54">
        <f t="shared" si="1"/>
        <v>0.03209465651</v>
      </c>
      <c r="E36" s="36">
        <v>41044.0</v>
      </c>
      <c r="F36" t="str">
        <f t="shared" si="2"/>
        <v>2012-05</v>
      </c>
      <c r="G36" t="str">
        <f>IFERROR(__xludf.DUMMYFUNCTION("""COMPUTED_VALUE"""),"2014-06")</f>
        <v>2014-06</v>
      </c>
      <c r="H36" s="52">
        <f>IFERROR(__xludf.DUMMYFUNCTION("""COMPUTED_VALUE"""),5.0)</f>
        <v>5</v>
      </c>
      <c r="I36" s="56">
        <f t="shared" si="3"/>
        <v>0.04570896731</v>
      </c>
      <c r="J36" s="61">
        <v>11.0</v>
      </c>
      <c r="K36" t="str">
        <f>IFERROR(__xludf.DUMMYFUNCTION("""COMPUTED_VALUE"""),"2014-06")</f>
        <v>2014-06</v>
      </c>
      <c r="L36">
        <f>IFERROR(__xludf.DUMMYFUNCTION("""COMPUTED_VALUE"""),131.0)</f>
        <v>131</v>
      </c>
      <c r="S36" t="s">
        <v>107</v>
      </c>
      <c r="T36">
        <v>5.0</v>
      </c>
      <c r="U36" s="57">
        <f t="shared" si="4"/>
        <v>-0.04563751603</v>
      </c>
    </row>
    <row r="37">
      <c r="C37" s="54">
        <f t="shared" si="1"/>
        <v>0.009051846947</v>
      </c>
      <c r="E37" s="36">
        <v>41053.0</v>
      </c>
      <c r="F37" t="str">
        <f t="shared" si="2"/>
        <v>2012-05</v>
      </c>
      <c r="G37" t="str">
        <f>IFERROR(__xludf.DUMMYFUNCTION("""COMPUTED_VALUE"""),"2014-07")</f>
        <v>2014-07</v>
      </c>
      <c r="H37" s="52">
        <f>IFERROR(__xludf.DUMMYFUNCTION("""COMPUTED_VALUE"""),7.0)</f>
        <v>7</v>
      </c>
      <c r="I37" s="56">
        <f t="shared" si="3"/>
        <v>0.00007145128241</v>
      </c>
      <c r="J37" s="61">
        <v>11.0</v>
      </c>
      <c r="K37" t="str">
        <f>IFERROR(__xludf.DUMMYFUNCTION("""COMPUTED_VALUE"""),"2014-07")</f>
        <v>2014-07</v>
      </c>
      <c r="L37">
        <f>IFERROR(__xludf.DUMMYFUNCTION("""COMPUTED_VALUE"""),241.0)</f>
        <v>241</v>
      </c>
      <c r="S37" t="s">
        <v>108</v>
      </c>
      <c r="T37">
        <v>7.0</v>
      </c>
      <c r="U37" s="57">
        <f t="shared" si="4"/>
        <v>0.01218820875</v>
      </c>
    </row>
    <row r="38">
      <c r="C38" s="54">
        <f t="shared" si="1"/>
        <v>-0.02890910189</v>
      </c>
      <c r="E38" s="36">
        <v>41071.0</v>
      </c>
      <c r="F38" t="str">
        <f t="shared" si="2"/>
        <v>2012-06</v>
      </c>
      <c r="G38" t="str">
        <f>IFERROR(__xludf.DUMMYFUNCTION("""COMPUTED_VALUE"""),"2014-08")</f>
        <v>2014-08</v>
      </c>
      <c r="H38" s="52">
        <f>IFERROR(__xludf.DUMMYFUNCTION("""COMPUTED_VALUE"""),5.0)</f>
        <v>5</v>
      </c>
      <c r="I38" s="56">
        <f t="shared" si="3"/>
        <v>0.01225966004</v>
      </c>
      <c r="J38" s="61">
        <v>46.0</v>
      </c>
      <c r="K38" t="str">
        <f>IFERROR(__xludf.DUMMYFUNCTION("""COMPUTED_VALUE"""),"2014-08")</f>
        <v>2014-08</v>
      </c>
      <c r="L38">
        <f>IFERROR(__xludf.DUMMYFUNCTION("""COMPUTED_VALUE"""),293.0)</f>
        <v>293</v>
      </c>
      <c r="S38" t="s">
        <v>109</v>
      </c>
      <c r="T38">
        <v>5.0</v>
      </c>
      <c r="U38" s="57">
        <f t="shared" si="4"/>
        <v>-0.06067191247</v>
      </c>
    </row>
    <row r="39">
      <c r="C39" s="54">
        <f t="shared" si="1"/>
        <v>0.02914851059</v>
      </c>
      <c r="E39" s="36">
        <v>41072.0</v>
      </c>
      <c r="F39" t="str">
        <f t="shared" si="2"/>
        <v>2012-06</v>
      </c>
      <c r="G39" t="str">
        <f>IFERROR(__xludf.DUMMYFUNCTION("""COMPUTED_VALUE"""),"2014-09")</f>
        <v>2014-09</v>
      </c>
      <c r="H39" s="52">
        <f>IFERROR(__xludf.DUMMYFUNCTION("""COMPUTED_VALUE"""),5.0)</f>
        <v>5</v>
      </c>
      <c r="I39" s="56">
        <f t="shared" si="3"/>
        <v>-0.04841225244</v>
      </c>
      <c r="J39" s="61">
        <v>10.0</v>
      </c>
      <c r="K39" t="str">
        <f>IFERROR(__xludf.DUMMYFUNCTION("""COMPUTED_VALUE"""),"2014-09")</f>
        <v>2014-09</v>
      </c>
      <c r="L39">
        <f>IFERROR(__xludf.DUMMYFUNCTION("""COMPUTED_VALUE"""),182.0)</f>
        <v>182</v>
      </c>
      <c r="S39" t="s">
        <v>110</v>
      </c>
      <c r="T39">
        <v>5.0</v>
      </c>
      <c r="U39" s="57">
        <f t="shared" si="4"/>
        <v>0.09647653844</v>
      </c>
    </row>
    <row r="40">
      <c r="C40" s="54">
        <f t="shared" si="1"/>
        <v>0.008811524781</v>
      </c>
      <c r="E40" s="36">
        <v>41074.0</v>
      </c>
      <c r="F40" t="str">
        <f t="shared" si="2"/>
        <v>2012-06</v>
      </c>
      <c r="G40" t="str">
        <f>IFERROR(__xludf.DUMMYFUNCTION("""COMPUTED_VALUE"""),"2014-10")</f>
        <v>2014-10</v>
      </c>
      <c r="H40" s="52">
        <f>IFERROR(__xludf.DUMMYFUNCTION("""COMPUTED_VALUE"""),5.0)</f>
        <v>5</v>
      </c>
      <c r="I40" s="56">
        <f t="shared" si="3"/>
        <v>0.048064286</v>
      </c>
      <c r="J40" s="61">
        <v>5.0</v>
      </c>
      <c r="K40" t="str">
        <f>IFERROR(__xludf.DUMMYFUNCTION("""COMPUTED_VALUE"""),"2014-10")</f>
        <v>2014-10</v>
      </c>
      <c r="L40">
        <f>IFERROR(__xludf.DUMMYFUNCTION("""COMPUTED_VALUE"""),296.0)</f>
        <v>296</v>
      </c>
      <c r="S40" t="s">
        <v>111</v>
      </c>
      <c r="T40">
        <v>5.0</v>
      </c>
      <c r="U40" s="57">
        <f t="shared" si="4"/>
        <v>-0.02072317634</v>
      </c>
    </row>
    <row r="41">
      <c r="C41" s="54">
        <f t="shared" si="1"/>
        <v>0.004817664576</v>
      </c>
      <c r="E41" s="36">
        <v>41085.0</v>
      </c>
      <c r="F41" t="str">
        <f t="shared" si="2"/>
        <v>2012-06</v>
      </c>
      <c r="G41" t="str">
        <f>IFERROR(__xludf.DUMMYFUNCTION("""COMPUTED_VALUE"""),"2014-11")</f>
        <v>2014-11</v>
      </c>
      <c r="H41" s="52">
        <f>IFERROR(__xludf.DUMMYFUNCTION("""COMPUTED_VALUE"""),4.0)</f>
        <v>4</v>
      </c>
      <c r="I41" s="56">
        <f t="shared" si="3"/>
        <v>0.02734110966</v>
      </c>
      <c r="J41" s="61">
        <v>8.0</v>
      </c>
      <c r="K41" t="str">
        <f>IFERROR(__xludf.DUMMYFUNCTION("""COMPUTED_VALUE"""),"2014-11")</f>
        <v>2014-11</v>
      </c>
      <c r="L41">
        <f>IFERROR(__xludf.DUMMYFUNCTION("""COMPUTED_VALUE"""),134.0)</f>
        <v>134</v>
      </c>
      <c r="S41" t="s">
        <v>113</v>
      </c>
      <c r="T41">
        <v>4.0</v>
      </c>
      <c r="U41" s="57">
        <f t="shared" si="4"/>
        <v>-0.001177371456</v>
      </c>
    </row>
    <row r="42">
      <c r="C42" s="54">
        <f t="shared" si="1"/>
        <v>0.009281458169</v>
      </c>
      <c r="E42" s="36">
        <v>41152.0</v>
      </c>
      <c r="F42" t="str">
        <f t="shared" si="2"/>
        <v>2012-08</v>
      </c>
      <c r="G42" t="str">
        <f>IFERROR(__xludf.DUMMYFUNCTION("""COMPUTED_VALUE"""),"2014-12")</f>
        <v>2014-12</v>
      </c>
      <c r="H42" s="52">
        <f>IFERROR(__xludf.DUMMYFUNCTION("""COMPUTED_VALUE"""),5.0)</f>
        <v>5</v>
      </c>
      <c r="I42" s="56">
        <f t="shared" si="3"/>
        <v>0.0261637382</v>
      </c>
      <c r="J42" s="61">
        <v>31.0</v>
      </c>
      <c r="K42" t="str">
        <f>IFERROR(__xludf.DUMMYFUNCTION("""COMPUTED_VALUE"""),"2014-12")</f>
        <v>2014-12</v>
      </c>
      <c r="L42">
        <f>IFERROR(__xludf.DUMMYFUNCTION("""COMPUTED_VALUE"""),145.0)</f>
        <v>145</v>
      </c>
      <c r="S42" t="s">
        <v>112</v>
      </c>
      <c r="T42">
        <v>5.0</v>
      </c>
      <c r="U42" s="57">
        <f t="shared" si="4"/>
        <v>-0.06509220998</v>
      </c>
    </row>
    <row r="43">
      <c r="C43" s="54">
        <f t="shared" si="1"/>
        <v>-0.0004797749285</v>
      </c>
      <c r="E43" s="36">
        <v>41240.0</v>
      </c>
      <c r="F43" t="str">
        <f t="shared" si="2"/>
        <v>2012-11</v>
      </c>
      <c r="G43" t="str">
        <f>IFERROR(__xludf.DUMMYFUNCTION("""COMPUTED_VALUE"""),"2015-01")</f>
        <v>2015-01</v>
      </c>
      <c r="H43" s="52">
        <f>IFERROR(__xludf.DUMMYFUNCTION("""COMPUTED_VALUE"""),6.0)</f>
        <v>6</v>
      </c>
      <c r="I43" s="56">
        <f t="shared" si="3"/>
        <v>-0.03892847178</v>
      </c>
      <c r="J43" s="61">
        <v>0.0</v>
      </c>
      <c r="K43" t="str">
        <f>IFERROR(__xludf.DUMMYFUNCTION("""COMPUTED_VALUE"""),"2015-01")</f>
        <v>2015-01</v>
      </c>
      <c r="L43">
        <f>IFERROR(__xludf.DUMMYFUNCTION("""COMPUTED_VALUE"""),121.0)</f>
        <v>121</v>
      </c>
      <c r="S43" t="s">
        <v>114</v>
      </c>
      <c r="T43">
        <v>6.0</v>
      </c>
      <c r="U43" s="57">
        <f t="shared" si="4"/>
        <v>0.08632165032</v>
      </c>
    </row>
    <row r="44">
      <c r="C44" s="54">
        <f t="shared" si="1"/>
        <v>0.007785796332</v>
      </c>
      <c r="E44" s="36">
        <v>41296.0</v>
      </c>
      <c r="F44" t="str">
        <f t="shared" si="2"/>
        <v>2013-01</v>
      </c>
      <c r="G44" t="str">
        <f>IFERROR(__xludf.DUMMYFUNCTION("""COMPUTED_VALUE"""),"2015-02")</f>
        <v>2015-02</v>
      </c>
      <c r="H44" s="52">
        <f>IFERROR(__xludf.DUMMYFUNCTION("""COMPUTED_VALUE"""),6.0)</f>
        <v>6</v>
      </c>
      <c r="I44" s="56">
        <f t="shared" si="3"/>
        <v>0.04739317854</v>
      </c>
      <c r="J44" s="61">
        <v>0.0</v>
      </c>
      <c r="K44" t="str">
        <f>IFERROR(__xludf.DUMMYFUNCTION("""COMPUTED_VALUE"""),"2015-02")</f>
        <v>2015-02</v>
      </c>
      <c r="L44">
        <f>IFERROR(__xludf.DUMMYFUNCTION("""COMPUTED_VALUE"""),106.0)</f>
        <v>106</v>
      </c>
      <c r="S44" t="s">
        <v>115</v>
      </c>
      <c r="T44">
        <v>6.0</v>
      </c>
      <c r="U44" s="57">
        <f t="shared" si="4"/>
        <v>0.007668348114</v>
      </c>
    </row>
    <row r="45">
      <c r="C45" s="54">
        <f t="shared" si="1"/>
        <v>0.01332347429</v>
      </c>
      <c r="E45" s="36">
        <v>41325.0</v>
      </c>
      <c r="F45" t="str">
        <f t="shared" si="2"/>
        <v>2013-02</v>
      </c>
      <c r="G45" t="str">
        <f>IFERROR(__xludf.DUMMYFUNCTION("""COMPUTED_VALUE"""),"2015-03")</f>
        <v>2015-03</v>
      </c>
      <c r="H45" s="52">
        <f>IFERROR(__xludf.DUMMYFUNCTION("""COMPUTED_VALUE"""),2.0)</f>
        <v>2</v>
      </c>
      <c r="I45" s="56">
        <f t="shared" si="3"/>
        <v>0.05506152665</v>
      </c>
      <c r="J45" s="61">
        <v>0.0</v>
      </c>
      <c r="K45" t="str">
        <f>IFERROR(__xludf.DUMMYFUNCTION("""COMPUTED_VALUE"""),"2015-03")</f>
        <v>2015-03</v>
      </c>
      <c r="L45">
        <f>IFERROR(__xludf.DUMMYFUNCTION("""COMPUTED_VALUE"""),78.0)</f>
        <v>78</v>
      </c>
      <c r="S45" t="s">
        <v>116</v>
      </c>
      <c r="T45">
        <v>2.0</v>
      </c>
      <c r="U45" s="57">
        <f t="shared" si="4"/>
        <v>-0.08233103462</v>
      </c>
    </row>
    <row r="46">
      <c r="C46" s="54">
        <f t="shared" si="1"/>
        <v>0.03315598655</v>
      </c>
      <c r="E46" s="36">
        <v>41368.0</v>
      </c>
      <c r="F46" t="str">
        <f t="shared" si="2"/>
        <v>2013-04</v>
      </c>
      <c r="G46" t="str">
        <f>IFERROR(__xludf.DUMMYFUNCTION("""COMPUTED_VALUE"""),"2015-04")</f>
        <v>2015-04</v>
      </c>
      <c r="H46" s="52">
        <f>IFERROR(__xludf.DUMMYFUNCTION("""COMPUTED_VALUE"""),2.0)</f>
        <v>2</v>
      </c>
      <c r="I46" s="56">
        <f t="shared" si="3"/>
        <v>-0.02726950796</v>
      </c>
      <c r="J46" s="61">
        <v>0.0</v>
      </c>
      <c r="K46" t="str">
        <f>IFERROR(__xludf.DUMMYFUNCTION("""COMPUTED_VALUE"""),"2015-04")</f>
        <v>2015-04</v>
      </c>
      <c r="L46">
        <f>IFERROR(__xludf.DUMMYFUNCTION("""COMPUTED_VALUE"""),96.0)</f>
        <v>96</v>
      </c>
      <c r="S46" t="s">
        <v>117</v>
      </c>
      <c r="T46">
        <v>2.0</v>
      </c>
      <c r="U46" s="57">
        <f t="shared" si="4"/>
        <v>0.03892494895</v>
      </c>
    </row>
    <row r="47">
      <c r="C47" s="54">
        <f t="shared" si="1"/>
        <v>0.04570896731</v>
      </c>
      <c r="E47" s="36">
        <v>41416.0</v>
      </c>
      <c r="F47" t="str">
        <f t="shared" si="2"/>
        <v>2013-05</v>
      </c>
      <c r="G47" t="str">
        <f>IFERROR(__xludf.DUMMYFUNCTION("""COMPUTED_VALUE"""),"2015-05")</f>
        <v>2015-05</v>
      </c>
      <c r="H47" s="52">
        <f>IFERROR(__xludf.DUMMYFUNCTION("""COMPUTED_VALUE"""),2.0)</f>
        <v>2</v>
      </c>
      <c r="I47" s="56">
        <f t="shared" si="3"/>
        <v>0.01165544099</v>
      </c>
      <c r="J47" s="61">
        <v>0.0</v>
      </c>
      <c r="K47" t="str">
        <f>IFERROR(__xludf.DUMMYFUNCTION("""COMPUTED_VALUE"""),"2015-05")</f>
        <v>2015-05</v>
      </c>
      <c r="L47">
        <f>IFERROR(__xludf.DUMMYFUNCTION("""COMPUTED_VALUE"""),78.0)</f>
        <v>78</v>
      </c>
      <c r="S47" t="s">
        <v>118</v>
      </c>
      <c r="T47">
        <v>2.0</v>
      </c>
      <c r="U47" s="57">
        <f t="shared" si="4"/>
        <v>0.01241994462</v>
      </c>
    </row>
    <row r="48">
      <c r="C48" s="54">
        <f t="shared" si="1"/>
        <v>0.00007145128241</v>
      </c>
      <c r="E48" s="36">
        <v>41508.0</v>
      </c>
      <c r="F48" t="str">
        <f t="shared" si="2"/>
        <v>2013-08</v>
      </c>
      <c r="G48" t="str">
        <f>IFERROR(__xludf.DUMMYFUNCTION("""COMPUTED_VALUE"""),"2015-06")</f>
        <v>2015-06</v>
      </c>
      <c r="H48" s="52">
        <f>IFERROR(__xludf.DUMMYFUNCTION("""COMPUTED_VALUE"""),2.0)</f>
        <v>2</v>
      </c>
      <c r="I48" s="56">
        <f t="shared" si="3"/>
        <v>0.02407538561</v>
      </c>
      <c r="J48" s="61">
        <v>0.0</v>
      </c>
      <c r="K48" t="str">
        <f>IFERROR(__xludf.DUMMYFUNCTION("""COMPUTED_VALUE"""),"2015-06")</f>
        <v>2015-06</v>
      </c>
      <c r="L48">
        <f>IFERROR(__xludf.DUMMYFUNCTION("""COMPUTED_VALUE"""),67.0)</f>
        <v>67</v>
      </c>
      <c r="S48" t="s">
        <v>119</v>
      </c>
      <c r="T48">
        <v>2.0</v>
      </c>
      <c r="U48" s="57">
        <f t="shared" si="4"/>
        <v>0.001962715411</v>
      </c>
    </row>
    <row r="49">
      <c r="C49" s="54">
        <f t="shared" si="1"/>
        <v>0.01225966004</v>
      </c>
      <c r="E49" s="36">
        <v>41152.0</v>
      </c>
      <c r="F49" t="str">
        <f t="shared" si="2"/>
        <v>2012-08</v>
      </c>
      <c r="G49" t="str">
        <f>IFERROR(__xludf.DUMMYFUNCTION("""COMPUTED_VALUE"""),"2015-07")</f>
        <v>2015-07</v>
      </c>
      <c r="H49" s="52">
        <f>IFERROR(__xludf.DUMMYFUNCTION("""COMPUTED_VALUE"""),3.0)</f>
        <v>3</v>
      </c>
      <c r="I49" s="56">
        <f t="shared" si="3"/>
        <v>0.02603810102</v>
      </c>
      <c r="J49" s="61">
        <v>77.0</v>
      </c>
      <c r="K49" t="str">
        <f>IFERROR(__xludf.DUMMYFUNCTION("""COMPUTED_VALUE"""),"2015-07")</f>
        <v>2015-07</v>
      </c>
      <c r="L49">
        <f>IFERROR(__xludf.DUMMYFUNCTION("""COMPUTED_VALUE"""),53.0)</f>
        <v>53</v>
      </c>
      <c r="S49" t="s">
        <v>120</v>
      </c>
      <c r="T49">
        <v>3.0</v>
      </c>
      <c r="U49" s="57">
        <f t="shared" si="4"/>
        <v>-0.03267164966</v>
      </c>
    </row>
    <row r="50">
      <c r="C50" s="54">
        <f t="shared" si="1"/>
        <v>-0.04841225244</v>
      </c>
      <c r="E50" s="36">
        <v>41240.0</v>
      </c>
      <c r="F50" t="str">
        <f t="shared" si="2"/>
        <v>2012-11</v>
      </c>
      <c r="G50" t="str">
        <f>IFERROR(__xludf.DUMMYFUNCTION("""COMPUTED_VALUE"""),"2015-08")</f>
        <v>2015-08</v>
      </c>
      <c r="H50" s="52">
        <f>IFERROR(__xludf.DUMMYFUNCTION("""COMPUTED_VALUE"""),3.0)</f>
        <v>3</v>
      </c>
      <c r="I50" s="56">
        <f t="shared" si="3"/>
        <v>-0.006633548636</v>
      </c>
      <c r="J50" s="61">
        <v>135.0</v>
      </c>
      <c r="K50" t="str">
        <f>IFERROR(__xludf.DUMMYFUNCTION("""COMPUTED_VALUE"""),"2015-08")</f>
        <v>2015-08</v>
      </c>
      <c r="L50">
        <f>IFERROR(__xludf.DUMMYFUNCTION("""COMPUTED_VALUE"""),112.0)</f>
        <v>112</v>
      </c>
      <c r="S50" t="s">
        <v>121</v>
      </c>
      <c r="T50">
        <v>3.0</v>
      </c>
      <c r="U50" s="57">
        <f t="shared" si="4"/>
        <v>0.04755077448</v>
      </c>
    </row>
    <row r="51">
      <c r="C51" s="54">
        <f t="shared" si="1"/>
        <v>0.048064286</v>
      </c>
      <c r="E51" s="36">
        <v>41297.0</v>
      </c>
      <c r="F51" t="str">
        <f t="shared" si="2"/>
        <v>2013-01</v>
      </c>
      <c r="G51" t="str">
        <f>IFERROR(__xludf.DUMMYFUNCTION("""COMPUTED_VALUE"""),"2015-09")</f>
        <v>2015-09</v>
      </c>
      <c r="H51" s="52">
        <f>IFERROR(__xludf.DUMMYFUNCTION("""COMPUTED_VALUE"""),7.0)</f>
        <v>7</v>
      </c>
      <c r="I51" s="56">
        <f t="shared" si="3"/>
        <v>0.04091722584</v>
      </c>
      <c r="J51" s="61">
        <v>87.0</v>
      </c>
      <c r="K51" t="str">
        <f>IFERROR(__xludf.DUMMYFUNCTION("""COMPUTED_VALUE"""),"2015-09")</f>
        <v>2015-09</v>
      </c>
      <c r="L51">
        <f>IFERROR(__xludf.DUMMYFUNCTION("""COMPUTED_VALUE"""),129.0)</f>
        <v>129</v>
      </c>
      <c r="S51" t="s">
        <v>122</v>
      </c>
      <c r="T51">
        <v>7.0</v>
      </c>
      <c r="U51" s="57">
        <f t="shared" si="4"/>
        <v>-0.01143027968</v>
      </c>
    </row>
    <row r="52">
      <c r="C52" s="54">
        <f t="shared" si="1"/>
        <v>0.02734110966</v>
      </c>
      <c r="E52" s="36">
        <v>41325.0</v>
      </c>
      <c r="F52" t="str">
        <f t="shared" si="2"/>
        <v>2013-02</v>
      </c>
      <c r="G52" t="str">
        <f>IFERROR(__xludf.DUMMYFUNCTION("""COMPUTED_VALUE"""),"2015-11")</f>
        <v>2015-11</v>
      </c>
      <c r="H52" s="52">
        <f>IFERROR(__xludf.DUMMYFUNCTION("""COMPUTED_VALUE"""),2.0)</f>
        <v>2</v>
      </c>
      <c r="I52" s="56">
        <f t="shared" si="3"/>
        <v>0.02948694616</v>
      </c>
      <c r="J52" s="61">
        <v>69.0</v>
      </c>
      <c r="K52" t="str">
        <f>IFERROR(__xludf.DUMMYFUNCTION("""COMPUTED_VALUE"""),"2015-11")</f>
        <v>2015-11</v>
      </c>
      <c r="L52">
        <f>IFERROR(__xludf.DUMMYFUNCTION("""COMPUTED_VALUE"""),112.0)</f>
        <v>112</v>
      </c>
      <c r="S52" t="s">
        <v>124</v>
      </c>
      <c r="T52">
        <v>2.0</v>
      </c>
      <c r="U52" s="57">
        <f t="shared" si="4"/>
        <v>0.01520821997</v>
      </c>
    </row>
    <row r="53">
      <c r="C53" s="54">
        <f t="shared" si="1"/>
        <v>0.0261637382</v>
      </c>
      <c r="E53" s="36">
        <v>41368.0</v>
      </c>
      <c r="F53" t="str">
        <f t="shared" si="2"/>
        <v>2013-04</v>
      </c>
      <c r="G53" t="str">
        <f>IFERROR(__xludf.DUMMYFUNCTION("""COMPUTED_VALUE"""),"2015-12")</f>
        <v>2015-12</v>
      </c>
      <c r="H53" s="52">
        <f>IFERROR(__xludf.DUMMYFUNCTION("""COMPUTED_VALUE"""),1.0)</f>
        <v>1</v>
      </c>
      <c r="I53" s="56">
        <f t="shared" si="3"/>
        <v>0.04469516613</v>
      </c>
      <c r="J53" s="61">
        <v>82.0</v>
      </c>
      <c r="K53" t="str">
        <f>IFERROR(__xludf.DUMMYFUNCTION("""COMPUTED_VALUE"""),"2015-12")</f>
        <v>2015-12</v>
      </c>
      <c r="L53">
        <f>IFERROR(__xludf.DUMMYFUNCTION("""COMPUTED_VALUE"""),64.0)</f>
        <v>64</v>
      </c>
      <c r="S53" t="s">
        <v>125</v>
      </c>
      <c r="T53">
        <v>1.0</v>
      </c>
      <c r="U53" s="57">
        <f t="shared" si="4"/>
        <v>-0.0358617345</v>
      </c>
    </row>
    <row r="54">
      <c r="C54" s="54">
        <f t="shared" si="1"/>
        <v>-0.03892847178</v>
      </c>
      <c r="E54" s="36">
        <v>41416.0</v>
      </c>
      <c r="F54" t="str">
        <f t="shared" si="2"/>
        <v>2013-05</v>
      </c>
      <c r="G54" t="str">
        <f>IFERROR(__xludf.DUMMYFUNCTION("""COMPUTED_VALUE"""),"2016-01")</f>
        <v>2016-01</v>
      </c>
      <c r="H54" s="52">
        <f>IFERROR(__xludf.DUMMYFUNCTION("""COMPUTED_VALUE"""),3.0)</f>
        <v>3</v>
      </c>
      <c r="I54" s="56">
        <f t="shared" si="3"/>
        <v>0.008833431628</v>
      </c>
      <c r="J54" s="61">
        <v>179.0</v>
      </c>
      <c r="K54" t="str">
        <f>IFERROR(__xludf.DUMMYFUNCTION("""COMPUTED_VALUE"""),"2016-01")</f>
        <v>2016-01</v>
      </c>
      <c r="L54">
        <f>IFERROR(__xludf.DUMMYFUNCTION("""COMPUTED_VALUE"""),156.0)</f>
        <v>156</v>
      </c>
      <c r="S54" t="s">
        <v>126</v>
      </c>
      <c r="T54">
        <v>3.0</v>
      </c>
      <c r="U54" s="57">
        <f t="shared" si="4"/>
        <v>0.01618632591</v>
      </c>
    </row>
    <row r="55">
      <c r="C55" s="54">
        <f t="shared" si="1"/>
        <v>0.04739317854</v>
      </c>
      <c r="E55" s="36">
        <v>41521.0</v>
      </c>
      <c r="F55" t="str">
        <f t="shared" si="2"/>
        <v>2013-09</v>
      </c>
      <c r="G55" t="str">
        <f>IFERROR(__xludf.DUMMYFUNCTION("""COMPUTED_VALUE"""),"2016-02")</f>
        <v>2016-02</v>
      </c>
      <c r="H55" s="52">
        <f>IFERROR(__xludf.DUMMYFUNCTION("""COMPUTED_VALUE"""),1.0)</f>
        <v>1</v>
      </c>
      <c r="I55" s="56">
        <f t="shared" si="3"/>
        <v>0.02501975754</v>
      </c>
      <c r="J55" s="61">
        <v>488.0</v>
      </c>
      <c r="K55" t="str">
        <f>IFERROR(__xludf.DUMMYFUNCTION("""COMPUTED_VALUE"""),"2016-02")</f>
        <v>2016-02</v>
      </c>
      <c r="L55">
        <f>IFERROR(__xludf.DUMMYFUNCTION("""COMPUTED_VALUE"""),32.0)</f>
        <v>32</v>
      </c>
      <c r="S55" t="s">
        <v>127</v>
      </c>
      <c r="T55">
        <v>1.0</v>
      </c>
      <c r="U55" s="57">
        <f t="shared" si="4"/>
        <v>0.03018897497</v>
      </c>
    </row>
    <row r="56">
      <c r="C56" s="54">
        <f t="shared" si="1"/>
        <v>0.05506152665</v>
      </c>
      <c r="E56" s="36">
        <v>41561.0</v>
      </c>
      <c r="F56" t="str">
        <f t="shared" si="2"/>
        <v>2013-10</v>
      </c>
      <c r="G56" t="str">
        <f>IFERROR(__xludf.DUMMYFUNCTION("""COMPUTED_VALUE"""),"2016-03")</f>
        <v>2016-03</v>
      </c>
      <c r="H56" s="52">
        <f>IFERROR(__xludf.DUMMYFUNCTION("""COMPUTED_VALUE"""),4.0)</f>
        <v>4</v>
      </c>
      <c r="I56" s="56">
        <f t="shared" si="3"/>
        <v>0.05520873251</v>
      </c>
      <c r="J56" s="61">
        <v>255.0</v>
      </c>
      <c r="K56" t="str">
        <f>IFERROR(__xludf.DUMMYFUNCTION("""COMPUTED_VALUE"""),"2016-03")</f>
        <v>2016-03</v>
      </c>
      <c r="L56">
        <f>IFERROR(__xludf.DUMMYFUNCTION("""COMPUTED_VALUE"""),96.0)</f>
        <v>96</v>
      </c>
      <c r="S56" t="s">
        <v>128</v>
      </c>
      <c r="T56">
        <v>4.0</v>
      </c>
      <c r="U56" s="57">
        <f t="shared" si="4"/>
        <v>-0.0259961908</v>
      </c>
    </row>
    <row r="57">
      <c r="C57" s="54">
        <f t="shared" si="1"/>
        <v>-0.02726950796</v>
      </c>
      <c r="E57" s="36">
        <v>41499.0</v>
      </c>
      <c r="F57" t="str">
        <f t="shared" si="2"/>
        <v>2013-08</v>
      </c>
      <c r="G57" t="str">
        <f>IFERROR(__xludf.DUMMYFUNCTION("""COMPUTED_VALUE"""),"2016-04")</f>
        <v>2016-04</v>
      </c>
      <c r="H57" s="52">
        <f>IFERROR(__xludf.DUMMYFUNCTION("""COMPUTED_VALUE"""),2.0)</f>
        <v>2</v>
      </c>
      <c r="I57" s="56">
        <f t="shared" si="3"/>
        <v>0.02921254171</v>
      </c>
      <c r="J57" s="61">
        <v>375.0</v>
      </c>
      <c r="K57" t="str">
        <f>IFERROR(__xludf.DUMMYFUNCTION("""COMPUTED_VALUE"""),"2016-04")</f>
        <v>2016-04</v>
      </c>
      <c r="L57">
        <f>IFERROR(__xludf.DUMMYFUNCTION("""COMPUTED_VALUE"""),0.0)</f>
        <v>0</v>
      </c>
      <c r="S57" t="s">
        <v>129</v>
      </c>
      <c r="T57">
        <v>2.0</v>
      </c>
      <c r="U57" s="57">
        <f t="shared" si="4"/>
        <v>-0.01636401781</v>
      </c>
    </row>
    <row r="58">
      <c r="C58" s="54">
        <f t="shared" si="1"/>
        <v>0.01165544099</v>
      </c>
      <c r="E58" s="36">
        <v>41586.0</v>
      </c>
      <c r="F58" t="str">
        <f t="shared" si="2"/>
        <v>2013-11</v>
      </c>
      <c r="G58" t="str">
        <f>IFERROR(__xludf.DUMMYFUNCTION("""COMPUTED_VALUE"""),"2016-05")</f>
        <v>2016-05</v>
      </c>
      <c r="H58" s="52">
        <f>IFERROR(__xludf.DUMMYFUNCTION("""COMPUTED_VALUE"""),2.0)</f>
        <v>2</v>
      </c>
      <c r="I58" s="56">
        <f t="shared" si="3"/>
        <v>0.01284852389</v>
      </c>
      <c r="J58" s="61">
        <v>532.0</v>
      </c>
      <c r="K58" t="str">
        <f>IFERROR(__xludf.DUMMYFUNCTION("""COMPUTED_VALUE"""),"2016-05")</f>
        <v>2016-05</v>
      </c>
      <c r="L58">
        <f>IFERROR(__xludf.DUMMYFUNCTION("""COMPUTED_VALUE"""),0.0)</f>
        <v>0</v>
      </c>
      <c r="S58" t="s">
        <v>130</v>
      </c>
      <c r="T58">
        <v>2.0</v>
      </c>
      <c r="U58" s="57">
        <f t="shared" si="4"/>
        <v>0.03558172559</v>
      </c>
    </row>
    <row r="59">
      <c r="C59" s="54">
        <f t="shared" si="1"/>
        <v>0.02407538561</v>
      </c>
      <c r="E59" s="36">
        <v>41593.0</v>
      </c>
      <c r="F59" t="str">
        <f t="shared" si="2"/>
        <v>2013-11</v>
      </c>
      <c r="G59" t="str">
        <f>IFERROR(__xludf.DUMMYFUNCTION("""COMPUTED_VALUE"""),"2016-06")</f>
        <v>2016-06</v>
      </c>
      <c r="H59" s="52">
        <f>IFERROR(__xludf.DUMMYFUNCTION("""COMPUTED_VALUE"""),2.0)</f>
        <v>2</v>
      </c>
      <c r="I59" s="56">
        <f t="shared" si="3"/>
        <v>0.04843024948</v>
      </c>
      <c r="J59" s="61">
        <v>58.0</v>
      </c>
      <c r="K59" t="str">
        <f>IFERROR(__xludf.DUMMYFUNCTION("""COMPUTED_VALUE"""),"2016-06")</f>
        <v>2016-06</v>
      </c>
      <c r="L59">
        <f>IFERROR(__xludf.DUMMYFUNCTION("""COMPUTED_VALUE"""),0.0)</f>
        <v>0</v>
      </c>
      <c r="S59" t="s">
        <v>131</v>
      </c>
      <c r="T59">
        <v>2.0</v>
      </c>
      <c r="U59" s="57">
        <f t="shared" si="4"/>
        <v>0.00706085387</v>
      </c>
    </row>
    <row r="60">
      <c r="C60" s="54">
        <f t="shared" si="1"/>
        <v>0.02603810102</v>
      </c>
      <c r="E60" s="36">
        <v>41600.0</v>
      </c>
      <c r="F60" t="str">
        <f t="shared" si="2"/>
        <v>2013-11</v>
      </c>
      <c r="G60" t="str">
        <f>IFERROR(__xludf.DUMMYFUNCTION("""COMPUTED_VALUE"""),"2016-07")</f>
        <v>2016-07</v>
      </c>
      <c r="H60" s="52">
        <f>IFERROR(__xludf.DUMMYFUNCTION("""COMPUTED_VALUE"""),2.0)</f>
        <v>2</v>
      </c>
      <c r="I60" s="56">
        <f t="shared" si="3"/>
        <v>0.05549110335</v>
      </c>
      <c r="J60" s="61">
        <v>57.0</v>
      </c>
      <c r="K60" t="str">
        <f>IFERROR(__xludf.DUMMYFUNCTION("""COMPUTED_VALUE"""),"2016-07")</f>
        <v>2016-07</v>
      </c>
      <c r="L60">
        <f>IFERROR(__xludf.DUMMYFUNCTION("""COMPUTED_VALUE"""),0.0)</f>
        <v>0</v>
      </c>
      <c r="S60" t="s">
        <v>132</v>
      </c>
      <c r="T60">
        <v>2.0</v>
      </c>
      <c r="U60" s="57">
        <f t="shared" si="4"/>
        <v>-0.01609188986</v>
      </c>
    </row>
    <row r="61">
      <c r="C61" s="54">
        <f t="shared" si="1"/>
        <v>-0.006633548636</v>
      </c>
      <c r="E61" s="36">
        <v>41605.0</v>
      </c>
      <c r="F61" t="str">
        <f t="shared" si="2"/>
        <v>2013-11</v>
      </c>
      <c r="G61" t="str">
        <f>IFERROR(__xludf.DUMMYFUNCTION("""COMPUTED_VALUE"""),"2016-10")</f>
        <v>2016-10</v>
      </c>
      <c r="H61" s="52">
        <f>IFERROR(__xludf.DUMMYFUNCTION("""COMPUTED_VALUE"""),5.0)</f>
        <v>5</v>
      </c>
      <c r="I61" s="56">
        <f t="shared" si="3"/>
        <v>0.0393992135</v>
      </c>
      <c r="J61" s="61">
        <v>26.0</v>
      </c>
      <c r="K61" t="str">
        <f>IFERROR(__xludf.DUMMYFUNCTION("""COMPUTED_VALUE"""),"2016-10")</f>
        <v>2016-10</v>
      </c>
      <c r="L61">
        <f>IFERROR(__xludf.DUMMYFUNCTION("""COMPUTED_VALUE"""),571.0)</f>
        <v>571</v>
      </c>
      <c r="S61" t="s">
        <v>135</v>
      </c>
      <c r="T61">
        <v>5.0</v>
      </c>
      <c r="U61" s="57">
        <f t="shared" si="4"/>
        <v>-0.01352306304</v>
      </c>
    </row>
    <row r="62">
      <c r="C62" s="54">
        <f t="shared" si="1"/>
        <v>0.04760711383</v>
      </c>
      <c r="E62" s="36">
        <v>41614.0</v>
      </c>
      <c r="F62" t="str">
        <f t="shared" si="2"/>
        <v>2013-12</v>
      </c>
      <c r="G62" t="str">
        <f>IFERROR(__xludf.DUMMYFUNCTION("""COMPUTED_VALUE"""),"2016-11")</f>
        <v>2016-11</v>
      </c>
      <c r="H62" s="52">
        <f>IFERROR(__xludf.DUMMYFUNCTION("""COMPUTED_VALUE"""),3.0)</f>
        <v>3</v>
      </c>
      <c r="I62" s="56">
        <f t="shared" si="3"/>
        <v>0.02587615045</v>
      </c>
      <c r="J62" s="61">
        <v>72.0</v>
      </c>
      <c r="K62" t="str">
        <f>IFERROR(__xludf.DUMMYFUNCTION("""COMPUTED_VALUE"""),"2016-11")</f>
        <v>2016-11</v>
      </c>
      <c r="L62">
        <f>IFERROR(__xludf.DUMMYFUNCTION("""COMPUTED_VALUE"""),70.0)</f>
        <v>70</v>
      </c>
      <c r="S62" t="s">
        <v>136</v>
      </c>
      <c r="T62">
        <v>3.0</v>
      </c>
      <c r="U62" s="57">
        <f t="shared" si="4"/>
        <v>0.01748310055</v>
      </c>
    </row>
    <row r="63">
      <c r="C63" s="54">
        <f t="shared" si="1"/>
        <v>0.04091722584</v>
      </c>
      <c r="E63" s="36">
        <v>41621.0</v>
      </c>
      <c r="F63" t="str">
        <f t="shared" si="2"/>
        <v>2013-12</v>
      </c>
      <c r="G63" t="str">
        <f>IFERROR(__xludf.DUMMYFUNCTION("""COMPUTED_VALUE"""),"2016-12")</f>
        <v>2016-12</v>
      </c>
      <c r="H63" s="52">
        <f>IFERROR(__xludf.DUMMYFUNCTION("""COMPUTED_VALUE"""),3.0)</f>
        <v>3</v>
      </c>
      <c r="I63" s="56">
        <f t="shared" si="3"/>
        <v>0.04335925101</v>
      </c>
      <c r="J63" s="61">
        <v>35.0</v>
      </c>
      <c r="K63" t="str">
        <f>IFERROR(__xludf.DUMMYFUNCTION("""COMPUTED_VALUE"""),"2016-12")</f>
        <v>2016-12</v>
      </c>
      <c r="L63">
        <f>IFERROR(__xludf.DUMMYFUNCTION("""COMPUTED_VALUE"""),41.0)</f>
        <v>41</v>
      </c>
      <c r="S63" t="s">
        <v>137</v>
      </c>
      <c r="T63">
        <v>3.0</v>
      </c>
      <c r="U63" s="57">
        <f t="shared" si="4"/>
        <v>-0.006785700544</v>
      </c>
    </row>
    <row r="64">
      <c r="C64" s="54">
        <f t="shared" si="1"/>
        <v>0.02948694616</v>
      </c>
      <c r="E64" s="36">
        <v>41627.0</v>
      </c>
      <c r="F64" t="str">
        <f t="shared" si="2"/>
        <v>2013-12</v>
      </c>
      <c r="G64" t="str">
        <f>IFERROR(__xludf.DUMMYFUNCTION("""COMPUTED_VALUE"""),"2017-01")</f>
        <v>2017-01</v>
      </c>
      <c r="H64" s="52">
        <f>IFERROR(__xludf.DUMMYFUNCTION("""COMPUTED_VALUE"""),1.0)</f>
        <v>1</v>
      </c>
      <c r="I64" s="56">
        <f t="shared" si="3"/>
        <v>0.03657355046</v>
      </c>
      <c r="J64" s="61">
        <v>58.0</v>
      </c>
      <c r="K64" t="str">
        <f>IFERROR(__xludf.DUMMYFUNCTION("""COMPUTED_VALUE"""),"2017-01")</f>
        <v>2017-01</v>
      </c>
      <c r="L64">
        <f>IFERROR(__xludf.DUMMYFUNCTION("""COMPUTED_VALUE"""),0.0)</f>
        <v>0</v>
      </c>
      <c r="S64" t="s">
        <v>138</v>
      </c>
      <c r="T64">
        <v>1.0</v>
      </c>
      <c r="U64" s="57">
        <f t="shared" si="4"/>
        <v>-0.01127041294</v>
      </c>
    </row>
    <row r="65">
      <c r="C65" s="54">
        <f t="shared" si="1"/>
        <v>0.04469516613</v>
      </c>
      <c r="E65" s="36">
        <v>41642.0</v>
      </c>
      <c r="F65" t="str">
        <f t="shared" si="2"/>
        <v>2014-01</v>
      </c>
      <c r="G65" t="str">
        <f>IFERROR(__xludf.DUMMYFUNCTION("""COMPUTED_VALUE"""),"2017-02")</f>
        <v>2017-02</v>
      </c>
      <c r="H65" s="52">
        <f>IFERROR(__xludf.DUMMYFUNCTION("""COMPUTED_VALUE"""),1.0)</f>
        <v>1</v>
      </c>
      <c r="I65" s="56">
        <f t="shared" si="3"/>
        <v>0.02530313753</v>
      </c>
      <c r="J65" s="61">
        <v>41.0</v>
      </c>
      <c r="K65" t="str">
        <f>IFERROR(__xludf.DUMMYFUNCTION("""COMPUTED_VALUE"""),"2017-02")</f>
        <v>2017-02</v>
      </c>
      <c r="L65">
        <f>IFERROR(__xludf.DUMMYFUNCTION("""COMPUTED_VALUE"""),0.0)</f>
        <v>0</v>
      </c>
      <c r="S65" t="s">
        <v>139</v>
      </c>
      <c r="T65">
        <v>1.0</v>
      </c>
      <c r="U65" s="57">
        <f t="shared" si="4"/>
        <v>0.03819324076</v>
      </c>
    </row>
    <row r="66">
      <c r="C66" s="54">
        <f t="shared" si="1"/>
        <v>0.008833431628</v>
      </c>
      <c r="E66" s="36">
        <v>41649.0</v>
      </c>
      <c r="F66" t="str">
        <f t="shared" si="2"/>
        <v>2014-01</v>
      </c>
      <c r="G66" t="str">
        <f>IFERROR(__xludf.DUMMYFUNCTION("""COMPUTED_VALUE"""),"2017-03")</f>
        <v>2017-03</v>
      </c>
      <c r="H66" s="52">
        <f>IFERROR(__xludf.DUMMYFUNCTION("""COMPUTED_VALUE"""),2.0)</f>
        <v>2</v>
      </c>
      <c r="I66" s="56">
        <f t="shared" si="3"/>
        <v>0.06349637829</v>
      </c>
      <c r="J66" s="61">
        <v>61.0</v>
      </c>
      <c r="K66" t="str">
        <f>IFERROR(__xludf.DUMMYFUNCTION("""COMPUTED_VALUE"""),"2017-03")</f>
        <v>2017-03</v>
      </c>
      <c r="L66">
        <f>IFERROR(__xludf.DUMMYFUNCTION("""COMPUTED_VALUE"""),0.0)</f>
        <v>0</v>
      </c>
      <c r="S66" t="s">
        <v>140</v>
      </c>
      <c r="T66">
        <v>2.0</v>
      </c>
      <c r="U66" s="57">
        <f t="shared" si="4"/>
        <v>-0.02187431012</v>
      </c>
    </row>
    <row r="67">
      <c r="C67" s="54">
        <f t="shared" si="1"/>
        <v>0.02501975754</v>
      </c>
      <c r="E67" s="36">
        <v>41654.0</v>
      </c>
      <c r="F67" t="str">
        <f t="shared" si="2"/>
        <v>2014-01</v>
      </c>
      <c r="G67" t="str">
        <f>IFERROR(__xludf.DUMMYFUNCTION("""COMPUTED_VALUE"""),"2017-07")</f>
        <v>2017-07</v>
      </c>
      <c r="H67" s="52">
        <f>IFERROR(__xludf.DUMMYFUNCTION("""COMPUTED_VALUE"""),1.0)</f>
        <v>1</v>
      </c>
      <c r="I67" s="56">
        <f t="shared" si="3"/>
        <v>0.04162206817</v>
      </c>
      <c r="J67" s="61">
        <v>33.0</v>
      </c>
      <c r="K67" t="str">
        <f>IFERROR(__xludf.DUMMYFUNCTION("""COMPUTED_VALUE"""),"2017-07")</f>
        <v>2017-07</v>
      </c>
      <c r="L67">
        <f>IFERROR(__xludf.DUMMYFUNCTION("""COMPUTED_VALUE"""),0.0)</f>
        <v>0</v>
      </c>
      <c r="S67" t="s">
        <v>144</v>
      </c>
      <c r="T67">
        <v>1.0</v>
      </c>
      <c r="U67" s="58" t="str">
        <f t="shared" si="4"/>
        <v>#N/A</v>
      </c>
    </row>
    <row r="68">
      <c r="C68" s="54">
        <f t="shared" si="1"/>
        <v>0.05520873251</v>
      </c>
      <c r="E68" s="36">
        <v>41663.0</v>
      </c>
      <c r="F68" t="str">
        <f t="shared" si="2"/>
        <v>2014-01</v>
      </c>
      <c r="G68" t="str">
        <f>IFERROR(__xludf.DUMMYFUNCTION("""COMPUTED_VALUE"""),"2017-08")</f>
        <v>2017-08</v>
      </c>
      <c r="H68" s="52">
        <f>IFERROR(__xludf.DUMMYFUNCTION("""COMPUTED_VALUE"""),1.0)</f>
        <v>1</v>
      </c>
      <c r="I68" s="44" t="str">
        <f t="shared" si="3"/>
        <v>#N/A</v>
      </c>
      <c r="J68" s="61">
        <v>48.0</v>
      </c>
      <c r="K68" t="str">
        <f>IFERROR(__xludf.DUMMYFUNCTION("""COMPUTED_VALUE"""),"2017-08")</f>
        <v>2017-08</v>
      </c>
      <c r="L68">
        <f>IFERROR(__xludf.DUMMYFUNCTION("""COMPUTED_VALUE"""),0.0)</f>
        <v>0</v>
      </c>
      <c r="S68" t="s">
        <v>145</v>
      </c>
      <c r="T68">
        <v>1.0</v>
      </c>
      <c r="U68" s="58" t="str">
        <f t="shared" si="4"/>
        <v>#N/A</v>
      </c>
    </row>
    <row r="69">
      <c r="C69" s="54">
        <f t="shared" si="1"/>
        <v>0.02921254171</v>
      </c>
      <c r="E69" s="36">
        <v>41673.0</v>
      </c>
      <c r="F69" t="str">
        <f t="shared" si="2"/>
        <v>2014-02</v>
      </c>
      <c r="H69" s="52"/>
      <c r="I69" s="44" t="str">
        <f t="shared" si="3"/>
        <v>#N/A</v>
      </c>
      <c r="J69" s="61">
        <v>27.0</v>
      </c>
    </row>
    <row r="70">
      <c r="C70" s="54">
        <f t="shared" si="1"/>
        <v>0.01284852389</v>
      </c>
      <c r="E70" s="36">
        <v>41677.0</v>
      </c>
      <c r="F70" t="str">
        <f t="shared" si="2"/>
        <v>2014-02</v>
      </c>
      <c r="H70" s="52"/>
      <c r="I70" s="44" t="str">
        <f t="shared" si="3"/>
        <v>#N/A</v>
      </c>
      <c r="J70" s="61">
        <v>37.0</v>
      </c>
    </row>
    <row r="71">
      <c r="C71" s="54">
        <f t="shared" si="1"/>
        <v>0.04843024948</v>
      </c>
      <c r="E71" s="36">
        <v>41685.0</v>
      </c>
      <c r="F71" t="str">
        <f t="shared" si="2"/>
        <v>2014-02</v>
      </c>
      <c r="H71" s="52"/>
      <c r="I71" s="44" t="str">
        <f t="shared" si="3"/>
        <v>#N/A</v>
      </c>
      <c r="J71" s="61">
        <v>36.0</v>
      </c>
    </row>
    <row r="72">
      <c r="C72" s="54">
        <f t="shared" si="1"/>
        <v>0.04692251065</v>
      </c>
      <c r="E72" s="36">
        <v>41699.0</v>
      </c>
      <c r="F72" t="str">
        <f t="shared" si="2"/>
        <v>2014-03</v>
      </c>
      <c r="H72" s="52"/>
      <c r="I72" s="44" t="str">
        <f t="shared" si="3"/>
        <v>#N/A</v>
      </c>
      <c r="J72" s="61">
        <v>177.0</v>
      </c>
    </row>
    <row r="73">
      <c r="C73" s="54">
        <f t="shared" si="1"/>
        <v>0.03483678403</v>
      </c>
      <c r="E73" s="36">
        <v>41719.0</v>
      </c>
      <c r="F73" t="str">
        <f t="shared" si="2"/>
        <v>2014-03</v>
      </c>
      <c r="H73" s="52"/>
      <c r="I73" s="44" t="str">
        <f t="shared" si="3"/>
        <v>#N/A</v>
      </c>
      <c r="J73" s="61">
        <v>24.0</v>
      </c>
    </row>
    <row r="74">
      <c r="C74" s="54">
        <f t="shared" si="1"/>
        <v>0.05549110335</v>
      </c>
      <c r="E74" s="36">
        <v>41732.0</v>
      </c>
      <c r="F74" t="str">
        <f t="shared" si="2"/>
        <v>2014-04</v>
      </c>
      <c r="H74" s="52"/>
      <c r="I74" s="44" t="str">
        <f t="shared" si="3"/>
        <v>#N/A</v>
      </c>
      <c r="J74" s="61">
        <v>0.0</v>
      </c>
    </row>
    <row r="75">
      <c r="C75" s="54">
        <f t="shared" si="1"/>
        <v>0.0393992135</v>
      </c>
      <c r="E75" s="36">
        <v>41796.0</v>
      </c>
      <c r="F75" t="str">
        <f t="shared" si="2"/>
        <v>2014-06</v>
      </c>
      <c r="H75" s="52"/>
      <c r="I75" s="44" t="str">
        <f t="shared" si="3"/>
        <v>#N/A</v>
      </c>
      <c r="J75" s="61">
        <v>0.0</v>
      </c>
    </row>
    <row r="76">
      <c r="C76" s="54">
        <f t="shared" si="1"/>
        <v>0.02587615045</v>
      </c>
      <c r="E76" s="36">
        <v>41803.0</v>
      </c>
      <c r="F76" t="str">
        <f t="shared" si="2"/>
        <v>2014-06</v>
      </c>
      <c r="H76" s="52"/>
      <c r="I76" s="44"/>
      <c r="J76" s="61">
        <v>0.0</v>
      </c>
    </row>
    <row r="77">
      <c r="C77" s="54">
        <f t="shared" si="1"/>
        <v>0.04335925101</v>
      </c>
      <c r="E77" s="36">
        <v>41821.0</v>
      </c>
      <c r="F77" t="str">
        <f t="shared" si="2"/>
        <v>2014-07</v>
      </c>
      <c r="H77" s="52"/>
      <c r="I77" s="62" t="s">
        <v>151</v>
      </c>
      <c r="J77" s="61">
        <v>0.0</v>
      </c>
    </row>
    <row r="78">
      <c r="C78" s="54">
        <f t="shared" si="1"/>
        <v>0.03657355046</v>
      </c>
      <c r="E78" s="36">
        <v>41831.0</v>
      </c>
      <c r="F78" t="str">
        <f t="shared" si="2"/>
        <v>2014-07</v>
      </c>
      <c r="H78" s="52"/>
      <c r="I78" s="44"/>
      <c r="J78" s="61">
        <v>0.0</v>
      </c>
    </row>
    <row r="79">
      <c r="C79" s="54">
        <f t="shared" si="1"/>
        <v>0.02530313753</v>
      </c>
      <c r="E79" s="36">
        <v>41845.0</v>
      </c>
      <c r="F79" t="str">
        <f t="shared" si="2"/>
        <v>2014-07</v>
      </c>
      <c r="H79" s="52"/>
      <c r="I79" s="44"/>
      <c r="J79" s="61">
        <v>0.0</v>
      </c>
    </row>
    <row r="80">
      <c r="C80" s="54">
        <f t="shared" si="1"/>
        <v>0.05316377746</v>
      </c>
      <c r="E80" s="36">
        <v>41863.0</v>
      </c>
      <c r="F80" t="str">
        <f t="shared" si="2"/>
        <v>2014-08</v>
      </c>
      <c r="H80" s="52"/>
      <c r="I80" s="44"/>
      <c r="J80" s="61">
        <v>0.0</v>
      </c>
    </row>
    <row r="81">
      <c r="C81" s="54">
        <f t="shared" si="1"/>
        <v>0.06971130104</v>
      </c>
      <c r="E81" s="36">
        <v>41873.0</v>
      </c>
      <c r="F81" t="str">
        <f t="shared" si="2"/>
        <v>2014-08</v>
      </c>
      <c r="H81" s="52"/>
      <c r="I81" s="44"/>
      <c r="J81" s="61">
        <v>0.0</v>
      </c>
    </row>
    <row r="82">
      <c r="C82" s="54">
        <f t="shared" si="1"/>
        <v>0.008787104726</v>
      </c>
      <c r="E82" s="36">
        <v>41891.0</v>
      </c>
      <c r="F82" t="str">
        <f t="shared" si="2"/>
        <v>2014-09</v>
      </c>
      <c r="H82" s="52"/>
      <c r="I82" s="44"/>
      <c r="J82" s="61">
        <v>0.0</v>
      </c>
    </row>
    <row r="83">
      <c r="C83" s="54">
        <f t="shared" si="1"/>
        <v>0.06349637829</v>
      </c>
      <c r="E83" s="36">
        <v>41898.0</v>
      </c>
      <c r="F83" t="str">
        <f t="shared" si="2"/>
        <v>2014-09</v>
      </c>
      <c r="H83" s="52"/>
      <c r="I83" s="44"/>
      <c r="J83" s="61">
        <v>0.0</v>
      </c>
    </row>
    <row r="84">
      <c r="C84" s="54">
        <f t="shared" si="1"/>
        <v>0.04162206817</v>
      </c>
      <c r="E84" s="36">
        <v>41914.0</v>
      </c>
      <c r="F84" t="str">
        <f t="shared" si="2"/>
        <v>2014-10</v>
      </c>
      <c r="H84" s="52"/>
      <c r="I84" s="44"/>
      <c r="J84" s="61">
        <v>0.0</v>
      </c>
    </row>
    <row r="85">
      <c r="C85" s="59"/>
      <c r="E85" s="36">
        <v>41963.0</v>
      </c>
      <c r="F85" t="str">
        <f t="shared" si="2"/>
        <v>2014-11</v>
      </c>
      <c r="H85" s="52"/>
      <c r="I85" s="44"/>
      <c r="J85" s="61">
        <v>0.0</v>
      </c>
    </row>
    <row r="86">
      <c r="B86" s="50"/>
      <c r="C86" s="59"/>
      <c r="E86" s="36">
        <v>41988.0</v>
      </c>
      <c r="F86" t="str">
        <f t="shared" si="2"/>
        <v>2014-12</v>
      </c>
      <c r="H86" s="52"/>
      <c r="I86" s="44"/>
      <c r="J86" s="61">
        <v>0.0</v>
      </c>
    </row>
    <row r="87">
      <c r="B87" s="50"/>
      <c r="C87" s="59"/>
      <c r="E87" s="36">
        <v>42276.0</v>
      </c>
      <c r="F87" t="str">
        <f t="shared" si="2"/>
        <v>2015-09</v>
      </c>
      <c r="H87" s="52"/>
      <c r="I87" s="44"/>
      <c r="J87" s="61">
        <v>0.0</v>
      </c>
    </row>
    <row r="88">
      <c r="B88" s="50"/>
      <c r="C88" s="59"/>
      <c r="E88" s="36">
        <v>42572.0</v>
      </c>
      <c r="F88" t="str">
        <f t="shared" si="2"/>
        <v>2016-07</v>
      </c>
      <c r="H88" s="52"/>
      <c r="I88" s="44"/>
      <c r="J88" s="61">
        <v>0.0</v>
      </c>
    </row>
    <row r="89">
      <c r="B89" s="50"/>
      <c r="C89" s="59"/>
      <c r="E89" s="36">
        <v>42654.0</v>
      </c>
      <c r="F89" t="str">
        <f t="shared" si="2"/>
        <v>2016-10</v>
      </c>
      <c r="H89" s="52"/>
      <c r="I89" s="44"/>
      <c r="J89" s="61">
        <v>0.0</v>
      </c>
    </row>
    <row r="90">
      <c r="B90" s="50"/>
      <c r="C90" s="59"/>
      <c r="E90" s="36">
        <v>42654.0</v>
      </c>
      <c r="F90" t="str">
        <f t="shared" si="2"/>
        <v>2016-10</v>
      </c>
      <c r="H90" s="52"/>
      <c r="I90" s="44"/>
      <c r="J90" s="61">
        <v>0.0</v>
      </c>
    </row>
    <row r="91">
      <c r="B91" s="50"/>
      <c r="C91" s="59"/>
      <c r="E91" s="36">
        <v>41706.0</v>
      </c>
      <c r="F91" t="str">
        <f t="shared" si="2"/>
        <v>2014-03</v>
      </c>
      <c r="H91" s="52"/>
      <c r="I91" s="44" t="str">
        <f t="shared" ref="I91:I100" si="5">C91</f>
        <v/>
      </c>
      <c r="J91" s="61">
        <v>32.0</v>
      </c>
    </row>
    <row r="92">
      <c r="B92" s="50"/>
      <c r="C92" s="59"/>
      <c r="E92" s="36">
        <v>41712.0</v>
      </c>
      <c r="F92" t="str">
        <f t="shared" si="2"/>
        <v>2014-03</v>
      </c>
      <c r="H92" s="52"/>
      <c r="I92" s="44" t="str">
        <f t="shared" si="5"/>
        <v/>
      </c>
      <c r="J92" s="61">
        <v>40.0</v>
      </c>
    </row>
    <row r="93">
      <c r="B93" s="50"/>
      <c r="C93" s="59"/>
      <c r="E93" s="36">
        <v>41719.0</v>
      </c>
      <c r="F93" t="str">
        <f t="shared" si="2"/>
        <v>2014-03</v>
      </c>
      <c r="H93" s="52"/>
      <c r="I93" s="44" t="str">
        <f t="shared" si="5"/>
        <v/>
      </c>
      <c r="J93" s="61">
        <v>60.0</v>
      </c>
    </row>
    <row r="94">
      <c r="B94" s="50"/>
      <c r="C94" s="59"/>
      <c r="E94" s="36">
        <v>41726.0</v>
      </c>
      <c r="F94" t="str">
        <f t="shared" si="2"/>
        <v>2014-03</v>
      </c>
      <c r="H94" s="52"/>
      <c r="I94" s="44" t="str">
        <f t="shared" si="5"/>
        <v/>
      </c>
      <c r="J94" s="61">
        <v>63.0</v>
      </c>
    </row>
    <row r="95">
      <c r="B95" s="50"/>
      <c r="C95" s="59"/>
      <c r="E95" s="36">
        <v>41732.0</v>
      </c>
      <c r="F95" t="str">
        <f t="shared" si="2"/>
        <v>2014-04</v>
      </c>
      <c r="H95" s="52"/>
      <c r="I95" s="44" t="str">
        <f t="shared" si="5"/>
        <v/>
      </c>
      <c r="J95" s="61">
        <v>26.0</v>
      </c>
    </row>
    <row r="96">
      <c r="B96" s="50"/>
      <c r="C96" s="59"/>
      <c r="E96" s="36">
        <v>41750.0</v>
      </c>
      <c r="F96" t="str">
        <f t="shared" si="2"/>
        <v>2014-04</v>
      </c>
      <c r="H96" s="52"/>
      <c r="I96" s="44" t="str">
        <f t="shared" si="5"/>
        <v/>
      </c>
      <c r="J96" s="61">
        <v>69.0</v>
      </c>
    </row>
    <row r="97">
      <c r="B97" s="50"/>
      <c r="C97" s="59"/>
      <c r="E97" s="36">
        <v>41754.0</v>
      </c>
      <c r="F97" t="str">
        <f t="shared" si="2"/>
        <v>2014-04</v>
      </c>
      <c r="H97" s="52"/>
      <c r="I97" s="44" t="str">
        <f t="shared" si="5"/>
        <v/>
      </c>
      <c r="J97" s="61">
        <v>18.0</v>
      </c>
    </row>
    <row r="98">
      <c r="B98" s="50"/>
      <c r="C98" s="59"/>
      <c r="E98" s="36">
        <v>41768.0</v>
      </c>
      <c r="F98" t="str">
        <f t="shared" si="2"/>
        <v>2014-05</v>
      </c>
      <c r="H98" s="52"/>
      <c r="I98" s="44" t="str">
        <f t="shared" si="5"/>
        <v/>
      </c>
      <c r="J98" s="61">
        <v>59.0</v>
      </c>
    </row>
    <row r="99">
      <c r="B99" s="50"/>
      <c r="C99" s="59"/>
      <c r="E99" s="36">
        <v>41775.0</v>
      </c>
      <c r="F99" t="str">
        <f t="shared" si="2"/>
        <v>2014-05</v>
      </c>
      <c r="H99" s="52"/>
      <c r="I99" s="44" t="str">
        <f t="shared" si="5"/>
        <v/>
      </c>
      <c r="J99" s="61">
        <v>24.0</v>
      </c>
    </row>
    <row r="100">
      <c r="B100" s="50"/>
      <c r="C100" s="59"/>
      <c r="E100" s="36">
        <v>41782.0</v>
      </c>
      <c r="F100" t="str">
        <f t="shared" si="2"/>
        <v>2014-05</v>
      </c>
      <c r="H100" s="52"/>
      <c r="I100" s="44" t="str">
        <f t="shared" si="5"/>
        <v/>
      </c>
      <c r="J100" s="61">
        <v>66.0</v>
      </c>
    </row>
    <row r="101">
      <c r="B101" s="50"/>
      <c r="C101" s="59"/>
      <c r="E101" s="36">
        <v>41796.0</v>
      </c>
      <c r="F101" t="str">
        <f t="shared" si="2"/>
        <v>2014-06</v>
      </c>
      <c r="H101" s="52"/>
      <c r="I101" s="44"/>
      <c r="J101" s="61">
        <v>69.0</v>
      </c>
    </row>
    <row r="102">
      <c r="B102" s="50"/>
      <c r="C102" s="59"/>
      <c r="E102" s="36">
        <v>41803.0</v>
      </c>
      <c r="F102" t="str">
        <f t="shared" si="2"/>
        <v>2014-06</v>
      </c>
      <c r="H102" s="52"/>
      <c r="I102" s="44"/>
      <c r="J102" s="61">
        <v>56.0</v>
      </c>
    </row>
    <row r="103">
      <c r="B103" s="50"/>
      <c r="C103" s="59"/>
      <c r="E103" s="36">
        <v>41806.0</v>
      </c>
      <c r="F103" t="str">
        <f t="shared" si="2"/>
        <v>2014-06</v>
      </c>
      <c r="H103" s="52"/>
      <c r="I103" s="44"/>
      <c r="J103" s="61">
        <v>6.0</v>
      </c>
    </row>
    <row r="104">
      <c r="B104" s="50"/>
      <c r="C104" s="59"/>
      <c r="E104" s="36">
        <v>41821.0</v>
      </c>
      <c r="F104" t="str">
        <f t="shared" si="2"/>
        <v>2014-07</v>
      </c>
      <c r="H104" s="52"/>
      <c r="I104" s="44"/>
      <c r="J104" s="61">
        <v>57.0</v>
      </c>
    </row>
    <row r="105">
      <c r="B105" s="50"/>
      <c r="C105" s="59"/>
      <c r="E105" s="36">
        <v>41831.0</v>
      </c>
      <c r="F105" t="str">
        <f t="shared" si="2"/>
        <v>2014-07</v>
      </c>
      <c r="H105" s="52"/>
      <c r="I105" s="44"/>
      <c r="J105" s="61">
        <v>92.0</v>
      </c>
    </row>
    <row r="106">
      <c r="B106" s="50"/>
      <c r="C106" s="59"/>
      <c r="E106" s="36">
        <v>41838.0</v>
      </c>
      <c r="F106" t="str">
        <f t="shared" si="2"/>
        <v>2014-07</v>
      </c>
      <c r="H106" s="52"/>
      <c r="I106" s="44"/>
      <c r="J106" s="61">
        <v>56.0</v>
      </c>
    </row>
    <row r="107">
      <c r="B107" s="50"/>
      <c r="C107" s="59"/>
      <c r="E107" s="36">
        <v>41845.0</v>
      </c>
      <c r="F107" t="str">
        <f t="shared" si="2"/>
        <v>2014-07</v>
      </c>
      <c r="H107" s="52"/>
      <c r="I107" s="44"/>
      <c r="J107" s="61">
        <v>36.0</v>
      </c>
    </row>
    <row r="108">
      <c r="B108" s="50"/>
      <c r="C108" s="59"/>
      <c r="E108" s="36">
        <v>41863.0</v>
      </c>
      <c r="F108" t="str">
        <f t="shared" si="2"/>
        <v>2014-08</v>
      </c>
      <c r="H108" s="52"/>
      <c r="I108" s="44"/>
      <c r="J108" s="61">
        <v>69.0</v>
      </c>
    </row>
    <row r="109">
      <c r="B109" s="50"/>
      <c r="C109" s="59"/>
      <c r="E109" s="36">
        <v>41873.0</v>
      </c>
      <c r="F109" t="str">
        <f t="shared" si="2"/>
        <v>2014-08</v>
      </c>
      <c r="H109" s="52"/>
      <c r="I109" s="44"/>
      <c r="J109" s="61">
        <v>142.0</v>
      </c>
    </row>
    <row r="110">
      <c r="B110" s="50"/>
      <c r="C110" s="59"/>
      <c r="E110" s="36">
        <v>41881.0</v>
      </c>
      <c r="F110" t="str">
        <f t="shared" si="2"/>
        <v>2014-08</v>
      </c>
      <c r="H110" s="52"/>
      <c r="I110" s="44"/>
      <c r="J110" s="61">
        <v>82.0</v>
      </c>
    </row>
    <row r="111">
      <c r="B111" s="50"/>
      <c r="C111" s="59"/>
      <c r="E111" s="36">
        <v>41891.0</v>
      </c>
      <c r="F111" t="str">
        <f t="shared" si="2"/>
        <v>2014-09</v>
      </c>
      <c r="H111" s="52"/>
      <c r="I111" s="44"/>
      <c r="J111" s="61">
        <v>92.0</v>
      </c>
    </row>
    <row r="112">
      <c r="B112" s="50"/>
      <c r="C112" s="59"/>
      <c r="E112" s="36">
        <v>41898.0</v>
      </c>
      <c r="F112" t="str">
        <f t="shared" si="2"/>
        <v>2014-09</v>
      </c>
      <c r="H112" s="52"/>
      <c r="I112" s="44"/>
      <c r="J112" s="61">
        <v>46.0</v>
      </c>
    </row>
    <row r="113">
      <c r="B113" s="50"/>
      <c r="C113" s="59"/>
      <c r="E113" s="36">
        <v>41906.0</v>
      </c>
      <c r="F113" t="str">
        <f t="shared" si="2"/>
        <v>2014-09</v>
      </c>
      <c r="H113" s="52"/>
      <c r="I113" s="44"/>
      <c r="J113" s="61">
        <v>44.0</v>
      </c>
    </row>
    <row r="114">
      <c r="B114" s="50"/>
      <c r="C114" s="59"/>
      <c r="E114" s="36">
        <v>41914.0</v>
      </c>
      <c r="F114" t="str">
        <f t="shared" si="2"/>
        <v>2014-10</v>
      </c>
      <c r="H114" s="52"/>
      <c r="I114" s="44"/>
      <c r="J114" s="61">
        <v>43.0</v>
      </c>
    </row>
    <row r="115">
      <c r="B115" s="50"/>
      <c r="C115" s="59"/>
      <c r="E115" s="36">
        <v>41920.0</v>
      </c>
      <c r="F115" t="str">
        <f t="shared" si="2"/>
        <v>2014-10</v>
      </c>
      <c r="H115" s="52"/>
      <c r="I115" s="44"/>
      <c r="J115" s="61">
        <v>73.0</v>
      </c>
    </row>
    <row r="116">
      <c r="B116" s="50"/>
      <c r="C116" s="59"/>
      <c r="E116" s="36">
        <v>41925.0</v>
      </c>
      <c r="F116" t="str">
        <f t="shared" si="2"/>
        <v>2014-10</v>
      </c>
      <c r="H116" s="52"/>
      <c r="I116" s="44"/>
      <c r="J116" s="61">
        <v>69.0</v>
      </c>
    </row>
    <row r="117">
      <c r="B117" s="50"/>
      <c r="C117" s="59"/>
      <c r="E117" s="36">
        <v>41943.0</v>
      </c>
      <c r="F117" t="str">
        <f t="shared" si="2"/>
        <v>2014-10</v>
      </c>
      <c r="H117" s="52"/>
      <c r="I117" s="44"/>
      <c r="J117" s="61">
        <v>111.0</v>
      </c>
    </row>
    <row r="118">
      <c r="B118" s="50"/>
      <c r="C118" s="59"/>
      <c r="E118" s="36">
        <v>41950.0</v>
      </c>
      <c r="F118" t="str">
        <f t="shared" si="2"/>
        <v>2014-11</v>
      </c>
      <c r="H118" s="52"/>
      <c r="I118" s="44"/>
      <c r="J118" s="61">
        <v>28.0</v>
      </c>
    </row>
    <row r="119">
      <c r="B119" s="50"/>
      <c r="C119" s="59"/>
      <c r="E119" s="36">
        <v>41961.0</v>
      </c>
      <c r="F119" t="str">
        <f t="shared" si="2"/>
        <v>2014-11</v>
      </c>
      <c r="H119" s="52"/>
      <c r="I119" s="44"/>
      <c r="J119" s="61">
        <v>53.0</v>
      </c>
    </row>
    <row r="120">
      <c r="B120" s="50"/>
      <c r="C120" s="59"/>
      <c r="E120" s="36">
        <v>41967.0</v>
      </c>
      <c r="F120" t="str">
        <f t="shared" si="2"/>
        <v>2014-11</v>
      </c>
      <c r="H120" s="52"/>
      <c r="I120" s="44"/>
      <c r="J120" s="61">
        <v>53.0</v>
      </c>
    </row>
    <row r="121">
      <c r="B121" s="50"/>
      <c r="C121" s="59"/>
      <c r="E121" s="36">
        <v>41975.0</v>
      </c>
      <c r="F121" t="str">
        <f t="shared" si="2"/>
        <v>2014-12</v>
      </c>
      <c r="H121" s="52"/>
      <c r="I121" s="44"/>
      <c r="J121" s="61">
        <v>26.0</v>
      </c>
    </row>
    <row r="122">
      <c r="B122" s="50"/>
      <c r="C122" s="59"/>
      <c r="E122" s="36">
        <v>41982.0</v>
      </c>
      <c r="F122" t="str">
        <f t="shared" si="2"/>
        <v>2014-12</v>
      </c>
      <c r="H122" s="52"/>
      <c r="I122" s="44"/>
      <c r="J122" s="61">
        <v>54.0</v>
      </c>
    </row>
    <row r="123">
      <c r="B123" s="50"/>
      <c r="C123" s="59"/>
      <c r="E123" s="36">
        <v>41988.0</v>
      </c>
      <c r="F123" t="str">
        <f t="shared" si="2"/>
        <v>2014-12</v>
      </c>
      <c r="H123" s="52"/>
      <c r="I123" s="44"/>
      <c r="J123" s="61">
        <v>32.0</v>
      </c>
    </row>
    <row r="124">
      <c r="B124" s="50"/>
      <c r="C124" s="59"/>
      <c r="E124" s="36">
        <v>41992.0</v>
      </c>
      <c r="F124" t="str">
        <f t="shared" si="2"/>
        <v>2014-12</v>
      </c>
      <c r="H124" s="52"/>
      <c r="I124" s="44"/>
      <c r="J124" s="61">
        <v>33.0</v>
      </c>
    </row>
    <row r="125">
      <c r="B125" s="50"/>
      <c r="C125" s="59"/>
      <c r="E125" s="36">
        <v>42018.0</v>
      </c>
      <c r="F125" t="str">
        <f t="shared" si="2"/>
        <v>2015-01</v>
      </c>
      <c r="H125" s="52"/>
      <c r="I125" s="44"/>
      <c r="J125" s="61">
        <v>2.0</v>
      </c>
    </row>
    <row r="126">
      <c r="B126" s="50"/>
      <c r="C126" s="59"/>
      <c r="E126" s="36">
        <v>42024.0</v>
      </c>
      <c r="F126" t="str">
        <f t="shared" si="2"/>
        <v>2015-01</v>
      </c>
      <c r="H126" s="52"/>
      <c r="I126" s="44"/>
      <c r="J126" s="61">
        <v>0.0</v>
      </c>
    </row>
    <row r="127">
      <c r="B127" s="50"/>
      <c r="C127" s="59"/>
      <c r="E127" s="36">
        <v>42030.0</v>
      </c>
      <c r="F127" t="str">
        <f t="shared" si="2"/>
        <v>2015-01</v>
      </c>
      <c r="H127" s="52"/>
      <c r="I127" s="44"/>
      <c r="J127" s="61">
        <v>0.0</v>
      </c>
    </row>
    <row r="128">
      <c r="B128" s="50"/>
      <c r="C128" s="59"/>
      <c r="E128" s="36">
        <v>42038.0</v>
      </c>
      <c r="F128" t="str">
        <f t="shared" si="2"/>
        <v>2015-02</v>
      </c>
      <c r="H128" s="52"/>
      <c r="I128" s="44"/>
      <c r="J128" s="61">
        <v>0.0</v>
      </c>
    </row>
    <row r="129">
      <c r="B129" s="50"/>
      <c r="C129" s="59"/>
      <c r="E129" s="36">
        <v>42044.0</v>
      </c>
      <c r="F129" t="str">
        <f t="shared" si="2"/>
        <v>2015-02</v>
      </c>
      <c r="H129" s="52"/>
      <c r="I129" s="44"/>
      <c r="J129" s="61">
        <v>0.0</v>
      </c>
    </row>
    <row r="130">
      <c r="B130" s="50"/>
      <c r="C130" s="59"/>
      <c r="E130" s="36">
        <v>42059.0</v>
      </c>
      <c r="F130" t="str">
        <f t="shared" si="2"/>
        <v>2015-02</v>
      </c>
      <c r="H130" s="52"/>
      <c r="I130" s="44"/>
      <c r="J130" s="61">
        <v>0.0</v>
      </c>
    </row>
    <row r="131">
      <c r="B131" s="50"/>
      <c r="C131" s="59"/>
      <c r="E131" s="36">
        <v>42080.0</v>
      </c>
      <c r="F131" t="str">
        <f t="shared" si="2"/>
        <v>2015-03</v>
      </c>
      <c r="H131" s="52"/>
      <c r="I131" s="44"/>
      <c r="J131" s="61">
        <v>0.0</v>
      </c>
    </row>
    <row r="132">
      <c r="B132" s="50"/>
      <c r="C132" s="59"/>
      <c r="E132" s="36">
        <v>42160.0</v>
      </c>
      <c r="F132" t="str">
        <f t="shared" si="2"/>
        <v>2015-06</v>
      </c>
      <c r="H132" s="52"/>
      <c r="I132" s="44"/>
      <c r="J132" s="61">
        <v>0.0</v>
      </c>
    </row>
    <row r="133">
      <c r="B133" s="50"/>
      <c r="C133" s="59"/>
      <c r="E133" s="36">
        <v>42191.0</v>
      </c>
      <c r="F133" t="str">
        <f t="shared" si="2"/>
        <v>2015-07</v>
      </c>
      <c r="H133" s="52"/>
      <c r="I133" s="44"/>
      <c r="J133" s="61">
        <v>0.0</v>
      </c>
    </row>
    <row r="134">
      <c r="B134" s="50"/>
      <c r="C134" s="59"/>
      <c r="E134" s="36">
        <v>42234.0</v>
      </c>
      <c r="F134" t="str">
        <f t="shared" si="2"/>
        <v>2015-08</v>
      </c>
      <c r="H134" s="52"/>
      <c r="I134" s="44"/>
      <c r="J134" s="61">
        <v>0.0</v>
      </c>
    </row>
    <row r="135">
      <c r="B135" s="50"/>
      <c r="C135" s="59"/>
      <c r="E135" s="36">
        <v>42263.0</v>
      </c>
      <c r="F135" t="str">
        <f t="shared" si="2"/>
        <v>2015-09</v>
      </c>
      <c r="H135" s="52"/>
      <c r="I135" s="44"/>
      <c r="J135" s="61">
        <v>0.0</v>
      </c>
    </row>
    <row r="136">
      <c r="B136" s="50"/>
      <c r="C136" s="59"/>
      <c r="E136" s="36">
        <v>42276.0</v>
      </c>
      <c r="F136" t="str">
        <f t="shared" si="2"/>
        <v>2015-09</v>
      </c>
      <c r="H136" s="52"/>
      <c r="I136" s="44"/>
      <c r="J136" s="61">
        <v>0.0</v>
      </c>
    </row>
    <row r="137">
      <c r="B137" s="50"/>
      <c r="C137" s="59"/>
      <c r="E137" s="36">
        <v>42018.0</v>
      </c>
      <c r="F137" t="str">
        <f t="shared" si="2"/>
        <v>2015-01</v>
      </c>
      <c r="H137" s="52"/>
      <c r="I137" s="44"/>
      <c r="J137" s="61">
        <v>67.0</v>
      </c>
    </row>
    <row r="138">
      <c r="B138" s="50"/>
      <c r="C138" s="59"/>
      <c r="E138" s="36">
        <v>42024.0</v>
      </c>
      <c r="F138" t="str">
        <f t="shared" si="2"/>
        <v>2015-01</v>
      </c>
      <c r="H138" s="52"/>
      <c r="I138" s="44"/>
      <c r="J138" s="61">
        <v>28.0</v>
      </c>
    </row>
    <row r="139">
      <c r="B139" s="50"/>
      <c r="C139" s="59"/>
      <c r="E139" s="36">
        <v>42030.0</v>
      </c>
      <c r="F139" t="str">
        <f t="shared" si="2"/>
        <v>2015-01</v>
      </c>
      <c r="H139" s="52"/>
      <c r="I139" s="44"/>
      <c r="J139" s="61">
        <v>24.0</v>
      </c>
    </row>
    <row r="140">
      <c r="B140" s="50"/>
      <c r="C140" s="59"/>
      <c r="E140" s="36">
        <v>42038.0</v>
      </c>
      <c r="F140" t="str">
        <f t="shared" si="2"/>
        <v>2015-02</v>
      </c>
      <c r="H140" s="52"/>
      <c r="I140" s="44"/>
      <c r="J140" s="61">
        <v>44.0</v>
      </c>
    </row>
    <row r="141">
      <c r="B141" s="50"/>
      <c r="C141" s="59"/>
      <c r="E141" s="36">
        <v>42044.0</v>
      </c>
      <c r="F141" t="str">
        <f t="shared" si="2"/>
        <v>2015-02</v>
      </c>
      <c r="H141" s="52"/>
      <c r="I141" s="44"/>
      <c r="J141" s="61">
        <v>11.0</v>
      </c>
    </row>
    <row r="142">
      <c r="B142" s="50"/>
      <c r="C142" s="59"/>
      <c r="E142" s="36">
        <v>42059.0</v>
      </c>
      <c r="F142" t="str">
        <f t="shared" si="2"/>
        <v>2015-02</v>
      </c>
      <c r="H142" s="52"/>
      <c r="I142" s="44"/>
      <c r="J142" s="61">
        <v>51.0</v>
      </c>
    </row>
    <row r="143">
      <c r="B143" s="50"/>
      <c r="C143" s="59"/>
      <c r="E143" s="36">
        <v>42080.0</v>
      </c>
      <c r="F143" t="str">
        <f t="shared" si="2"/>
        <v>2015-03</v>
      </c>
      <c r="H143" s="52"/>
      <c r="I143" s="44"/>
      <c r="J143" s="61">
        <v>78.0</v>
      </c>
    </row>
    <row r="144">
      <c r="B144" s="50"/>
      <c r="C144" s="59"/>
      <c r="E144" s="36">
        <v>42104.0</v>
      </c>
      <c r="F144" t="str">
        <f t="shared" si="2"/>
        <v>2015-04</v>
      </c>
      <c r="H144" s="52"/>
      <c r="I144" s="44"/>
      <c r="J144" s="61">
        <v>62.0</v>
      </c>
    </row>
    <row r="145">
      <c r="B145" s="50"/>
      <c r="C145" s="59"/>
      <c r="E145" s="36">
        <v>42118.0</v>
      </c>
      <c r="F145" t="str">
        <f t="shared" si="2"/>
        <v>2015-04</v>
      </c>
      <c r="H145" s="52"/>
      <c r="I145" s="44"/>
      <c r="J145" s="61">
        <v>34.0</v>
      </c>
    </row>
    <row r="146">
      <c r="B146" s="50"/>
      <c r="C146" s="59"/>
      <c r="E146" s="36">
        <v>42136.0</v>
      </c>
      <c r="F146" t="str">
        <f t="shared" si="2"/>
        <v>2015-05</v>
      </c>
      <c r="H146" s="52"/>
      <c r="I146" s="44"/>
      <c r="J146" s="61">
        <v>56.0</v>
      </c>
    </row>
    <row r="147">
      <c r="B147" s="50"/>
      <c r="C147" s="59"/>
      <c r="E147" s="36">
        <v>42151.0</v>
      </c>
      <c r="F147" t="str">
        <f t="shared" si="2"/>
        <v>2015-05</v>
      </c>
      <c r="H147" s="52"/>
      <c r="I147" s="44"/>
      <c r="J147" s="61">
        <v>22.0</v>
      </c>
    </row>
    <row r="148">
      <c r="B148" s="50"/>
      <c r="C148" s="59"/>
      <c r="E148" s="36">
        <v>42171.0</v>
      </c>
      <c r="F148" t="str">
        <f t="shared" si="2"/>
        <v>2015-06</v>
      </c>
      <c r="H148" s="52"/>
      <c r="I148" s="44"/>
      <c r="J148" s="61">
        <v>67.0</v>
      </c>
    </row>
    <row r="149">
      <c r="B149" s="50"/>
      <c r="C149" s="59"/>
      <c r="E149" s="36">
        <v>42191.0</v>
      </c>
      <c r="F149" t="str">
        <f t="shared" si="2"/>
        <v>2015-07</v>
      </c>
      <c r="H149" s="52"/>
      <c r="I149" s="44"/>
      <c r="J149" s="61">
        <v>36.0</v>
      </c>
    </row>
    <row r="150">
      <c r="B150" s="50"/>
      <c r="C150" s="59"/>
      <c r="E150" s="36">
        <v>42200.0</v>
      </c>
      <c r="F150" t="str">
        <f t="shared" si="2"/>
        <v>2015-07</v>
      </c>
      <c r="H150" s="52"/>
      <c r="I150" s="44"/>
      <c r="J150" s="61">
        <v>17.0</v>
      </c>
    </row>
    <row r="151">
      <c r="B151" s="50"/>
      <c r="C151" s="59"/>
      <c r="E151" s="36">
        <v>42229.0</v>
      </c>
      <c r="F151" t="str">
        <f t="shared" si="2"/>
        <v>2015-08</v>
      </c>
      <c r="H151" s="52"/>
      <c r="I151" s="44"/>
      <c r="J151" s="61">
        <v>86.0</v>
      </c>
    </row>
    <row r="152">
      <c r="B152" s="50"/>
      <c r="C152" s="59"/>
      <c r="E152" s="36">
        <v>42244.0</v>
      </c>
      <c r="F152" t="str">
        <f t="shared" si="2"/>
        <v>2015-08</v>
      </c>
      <c r="H152" s="52"/>
      <c r="I152" s="44"/>
      <c r="J152" s="61">
        <v>26.0</v>
      </c>
    </row>
    <row r="153">
      <c r="B153" s="50"/>
      <c r="C153" s="59"/>
      <c r="E153" s="36">
        <v>42264.0</v>
      </c>
      <c r="F153" t="str">
        <f t="shared" si="2"/>
        <v>2015-09</v>
      </c>
      <c r="H153" s="52"/>
      <c r="I153" s="44"/>
      <c r="J153" s="61">
        <v>59.0</v>
      </c>
    </row>
    <row r="154">
      <c r="B154" s="50"/>
      <c r="C154" s="59"/>
      <c r="E154" s="36">
        <v>42276.0</v>
      </c>
      <c r="F154" t="str">
        <f t="shared" si="2"/>
        <v>2015-09</v>
      </c>
      <c r="H154" s="52"/>
      <c r="I154" s="44"/>
      <c r="J154" s="61">
        <v>7.0</v>
      </c>
    </row>
    <row r="155">
      <c r="B155" s="50"/>
      <c r="C155" s="59"/>
      <c r="E155" s="36">
        <v>42328.0</v>
      </c>
      <c r="F155" t="str">
        <f t="shared" si="2"/>
        <v>2015-11</v>
      </c>
      <c r="H155" s="52"/>
      <c r="I155" s="44"/>
      <c r="J155" s="61">
        <v>0.0</v>
      </c>
    </row>
    <row r="156">
      <c r="B156" s="50"/>
      <c r="C156" s="59"/>
      <c r="E156" s="36">
        <v>42390.0</v>
      </c>
      <c r="F156" t="str">
        <f t="shared" si="2"/>
        <v>2016-01</v>
      </c>
      <c r="H156" s="52"/>
      <c r="I156" s="44"/>
      <c r="J156" s="61">
        <v>0.0</v>
      </c>
    </row>
    <row r="157">
      <c r="B157" s="50"/>
      <c r="C157" s="59"/>
      <c r="E157" s="36">
        <v>42445.0</v>
      </c>
      <c r="F157" t="str">
        <f t="shared" si="2"/>
        <v>2016-03</v>
      </c>
      <c r="H157" s="52"/>
      <c r="I157" s="44"/>
      <c r="J157" s="61">
        <v>0.0</v>
      </c>
    </row>
    <row r="158">
      <c r="B158" s="50"/>
      <c r="C158" s="59"/>
      <c r="E158" s="36">
        <v>42517.0</v>
      </c>
      <c r="F158" t="str">
        <f t="shared" si="2"/>
        <v>2016-05</v>
      </c>
      <c r="H158" s="52"/>
      <c r="I158" s="44"/>
      <c r="J158" s="61">
        <v>0.0</v>
      </c>
    </row>
    <row r="159">
      <c r="B159" s="50"/>
      <c r="C159" s="59"/>
      <c r="E159" s="36">
        <v>42536.0</v>
      </c>
      <c r="F159" t="str">
        <f t="shared" si="2"/>
        <v>2016-06</v>
      </c>
      <c r="H159" s="52"/>
      <c r="I159" s="44"/>
      <c r="J159" s="61">
        <v>0.0</v>
      </c>
    </row>
    <row r="160">
      <c r="B160" s="50"/>
      <c r="C160" s="59"/>
      <c r="E160" s="36">
        <v>42653.0</v>
      </c>
      <c r="F160" t="str">
        <f t="shared" si="2"/>
        <v>2016-10</v>
      </c>
      <c r="H160" s="52"/>
      <c r="I160" s="44"/>
      <c r="J160" s="61">
        <v>0.0</v>
      </c>
    </row>
    <row r="161">
      <c r="B161" s="50"/>
      <c r="C161" s="59"/>
      <c r="E161" s="36">
        <v>42654.0</v>
      </c>
      <c r="F161" t="str">
        <f t="shared" si="2"/>
        <v>2016-10</v>
      </c>
      <c r="H161" s="52"/>
      <c r="I161" s="44"/>
      <c r="J161" s="61">
        <v>0.0</v>
      </c>
    </row>
    <row r="162">
      <c r="B162" s="50"/>
      <c r="C162" s="59"/>
      <c r="E162" s="36">
        <v>42264.0</v>
      </c>
      <c r="F162" t="str">
        <f t="shared" si="2"/>
        <v>2015-09</v>
      </c>
      <c r="H162" s="52"/>
      <c r="I162" s="44"/>
      <c r="J162" s="61">
        <v>1.0</v>
      </c>
    </row>
    <row r="163">
      <c r="B163" s="50"/>
      <c r="C163" s="59"/>
      <c r="E163" s="36">
        <v>42276.0</v>
      </c>
      <c r="F163" t="str">
        <f t="shared" si="2"/>
        <v>2015-09</v>
      </c>
      <c r="H163" s="52"/>
      <c r="I163" s="44"/>
      <c r="J163" s="61">
        <v>62.0</v>
      </c>
    </row>
    <row r="164">
      <c r="B164" s="50"/>
      <c r="C164" s="59"/>
      <c r="E164" s="36">
        <v>42326.0</v>
      </c>
      <c r="F164" t="str">
        <f t="shared" si="2"/>
        <v>2015-11</v>
      </c>
      <c r="H164" s="52"/>
      <c r="I164" s="44"/>
      <c r="J164" s="61">
        <v>112.0</v>
      </c>
    </row>
    <row r="165">
      <c r="B165" s="50"/>
      <c r="C165" s="59"/>
      <c r="E165" s="36">
        <v>42347.0</v>
      </c>
      <c r="F165" t="str">
        <f t="shared" si="2"/>
        <v>2015-12</v>
      </c>
      <c r="H165" s="52"/>
      <c r="I165" s="44"/>
      <c r="J165" s="61">
        <v>64.0</v>
      </c>
    </row>
    <row r="166">
      <c r="B166" s="50"/>
      <c r="C166" s="59"/>
      <c r="E166" s="36">
        <v>42384.0</v>
      </c>
      <c r="F166" t="str">
        <f t="shared" si="2"/>
        <v>2016-01</v>
      </c>
      <c r="H166" s="52"/>
      <c r="I166" s="44"/>
      <c r="J166" s="61">
        <v>95.0</v>
      </c>
    </row>
    <row r="167">
      <c r="B167" s="50"/>
      <c r="C167" s="59"/>
      <c r="E167" s="36">
        <v>42397.0</v>
      </c>
      <c r="F167" t="str">
        <f t="shared" si="2"/>
        <v>2016-01</v>
      </c>
      <c r="H167" s="52"/>
      <c r="I167" s="44"/>
      <c r="J167" s="61">
        <v>61.0</v>
      </c>
    </row>
    <row r="168">
      <c r="B168" s="50"/>
      <c r="C168" s="59"/>
      <c r="E168" s="36">
        <v>42405.0</v>
      </c>
      <c r="F168" t="str">
        <f t="shared" si="2"/>
        <v>2016-02</v>
      </c>
      <c r="H168" s="52"/>
      <c r="I168" s="44"/>
      <c r="J168" s="61">
        <v>32.0</v>
      </c>
    </row>
    <row r="169">
      <c r="B169" s="50"/>
      <c r="C169" s="59"/>
      <c r="E169" s="36">
        <v>42445.0</v>
      </c>
      <c r="F169" t="str">
        <f t="shared" si="2"/>
        <v>2016-03</v>
      </c>
      <c r="H169" s="52"/>
      <c r="I169" s="44"/>
      <c r="J169" s="61">
        <v>96.0</v>
      </c>
    </row>
    <row r="170">
      <c r="B170" s="50"/>
      <c r="C170" s="59"/>
      <c r="E170" s="36">
        <v>42447.0</v>
      </c>
      <c r="F170" t="str">
        <f t="shared" si="2"/>
        <v>2016-03</v>
      </c>
      <c r="H170" s="52"/>
      <c r="I170" s="44"/>
      <c r="J170" s="61">
        <v>0.0</v>
      </c>
    </row>
    <row r="171">
      <c r="B171" s="50"/>
      <c r="C171" s="59"/>
      <c r="E171" s="36">
        <v>42454.0</v>
      </c>
      <c r="F171" t="str">
        <f t="shared" si="2"/>
        <v>2016-03</v>
      </c>
      <c r="H171" s="52"/>
      <c r="I171" s="44"/>
      <c r="J171" s="61">
        <v>0.0</v>
      </c>
    </row>
    <row r="172">
      <c r="B172" s="50"/>
      <c r="C172" s="59"/>
      <c r="E172" s="36">
        <v>42474.0</v>
      </c>
      <c r="F172" t="str">
        <f t="shared" si="2"/>
        <v>2016-04</v>
      </c>
      <c r="H172" s="52"/>
      <c r="I172" s="44"/>
      <c r="J172" s="61">
        <v>0.0</v>
      </c>
    </row>
    <row r="173">
      <c r="B173" s="50"/>
      <c r="C173" s="59"/>
      <c r="E173" s="36">
        <v>42478.0</v>
      </c>
      <c r="F173" t="str">
        <f t="shared" si="2"/>
        <v>2016-04</v>
      </c>
      <c r="H173" s="52"/>
      <c r="I173" s="44"/>
      <c r="J173" s="61">
        <v>0.0</v>
      </c>
    </row>
    <row r="174">
      <c r="B174" s="50"/>
      <c r="C174" s="59"/>
      <c r="E174" s="36">
        <v>42517.0</v>
      </c>
      <c r="F174" t="str">
        <f t="shared" si="2"/>
        <v>2016-05</v>
      </c>
      <c r="H174" s="52"/>
      <c r="I174" s="44"/>
      <c r="J174" s="61">
        <v>0.0</v>
      </c>
    </row>
    <row r="175">
      <c r="B175" s="50"/>
      <c r="C175" s="59"/>
      <c r="E175" s="36">
        <v>42536.0</v>
      </c>
      <c r="F175" t="str">
        <f t="shared" si="2"/>
        <v>2016-06</v>
      </c>
      <c r="H175" s="52"/>
      <c r="I175" s="44"/>
      <c r="J175" s="61">
        <v>0.0</v>
      </c>
    </row>
    <row r="176">
      <c r="B176" s="50"/>
      <c r="C176" s="59"/>
      <c r="E176" s="36">
        <v>42573.0</v>
      </c>
      <c r="F176" t="str">
        <f t="shared" si="2"/>
        <v>2016-07</v>
      </c>
      <c r="H176" s="52"/>
      <c r="I176" s="44"/>
      <c r="J176" s="61">
        <v>0.0</v>
      </c>
    </row>
    <row r="177">
      <c r="B177" s="50"/>
      <c r="C177" s="59"/>
      <c r="E177" s="36">
        <v>42698.0</v>
      </c>
      <c r="F177" t="str">
        <f t="shared" si="2"/>
        <v>2016-11</v>
      </c>
      <c r="H177" s="52"/>
      <c r="I177" s="44"/>
      <c r="J177" s="61">
        <v>0.0</v>
      </c>
    </row>
    <row r="178">
      <c r="B178" s="50"/>
      <c r="C178" s="59"/>
      <c r="E178" s="36">
        <v>42720.0</v>
      </c>
      <c r="F178" t="str">
        <f t="shared" si="2"/>
        <v>2016-12</v>
      </c>
      <c r="H178" s="52"/>
      <c r="I178" s="44"/>
      <c r="J178" s="61">
        <v>0.0</v>
      </c>
    </row>
    <row r="179">
      <c r="B179" s="50"/>
      <c r="C179" s="59"/>
      <c r="E179" s="36">
        <v>42747.0</v>
      </c>
      <c r="F179" t="str">
        <f t="shared" si="2"/>
        <v>2017-01</v>
      </c>
      <c r="H179" s="52"/>
      <c r="I179" s="44"/>
      <c r="J179" s="61">
        <v>0.0</v>
      </c>
    </row>
    <row r="180">
      <c r="B180" s="50"/>
      <c r="C180" s="59"/>
      <c r="E180" s="36">
        <v>42670.0</v>
      </c>
      <c r="F180" t="str">
        <f t="shared" si="2"/>
        <v>2016-10</v>
      </c>
      <c r="H180" s="52"/>
      <c r="I180" s="44"/>
      <c r="J180" s="61">
        <v>571.0</v>
      </c>
    </row>
    <row r="181">
      <c r="B181" s="50"/>
      <c r="C181" s="59"/>
      <c r="E181" s="36">
        <v>42695.0</v>
      </c>
      <c r="F181" t="str">
        <f t="shared" si="2"/>
        <v>2016-11</v>
      </c>
      <c r="H181" s="52"/>
      <c r="I181" s="44"/>
      <c r="J181" s="61">
        <v>56.0</v>
      </c>
    </row>
    <row r="182">
      <c r="B182" s="50"/>
      <c r="C182" s="59"/>
      <c r="E182" s="36">
        <v>42698.0</v>
      </c>
      <c r="F182" t="str">
        <f t="shared" si="2"/>
        <v>2016-11</v>
      </c>
      <c r="H182" s="52"/>
      <c r="I182" s="44"/>
      <c r="J182" s="61">
        <v>14.0</v>
      </c>
    </row>
    <row r="183">
      <c r="B183" s="50"/>
      <c r="C183" s="59"/>
      <c r="E183" s="36">
        <v>42712.0</v>
      </c>
      <c r="F183" t="str">
        <f t="shared" si="2"/>
        <v>2016-12</v>
      </c>
      <c r="H183" s="52"/>
      <c r="I183" s="44"/>
      <c r="J183" s="61">
        <v>39.0</v>
      </c>
    </row>
    <row r="184">
      <c r="B184" s="50"/>
      <c r="C184" s="59"/>
      <c r="E184" s="36">
        <v>42727.0</v>
      </c>
      <c r="F184" t="str">
        <f t="shared" si="2"/>
        <v>2016-12</v>
      </c>
      <c r="H184" s="52"/>
      <c r="I184" s="44"/>
      <c r="J184" s="61">
        <v>2.0</v>
      </c>
    </row>
    <row r="185">
      <c r="B185" s="50"/>
      <c r="C185" s="59"/>
      <c r="E185" s="36">
        <v>42773.0</v>
      </c>
      <c r="F185" t="str">
        <f t="shared" si="2"/>
        <v>2017-02</v>
      </c>
      <c r="H185" s="52"/>
      <c r="I185" s="44"/>
      <c r="J185" s="61">
        <v>0.0</v>
      </c>
    </row>
    <row r="186">
      <c r="B186" s="50"/>
      <c r="C186" s="59"/>
      <c r="E186" s="36">
        <v>42802.0</v>
      </c>
      <c r="F186" t="str">
        <f t="shared" si="2"/>
        <v>2017-03</v>
      </c>
      <c r="H186" s="52"/>
      <c r="I186" s="44"/>
      <c r="J186" s="61">
        <v>0.0</v>
      </c>
    </row>
    <row r="187">
      <c r="B187" s="50"/>
      <c r="C187" s="59"/>
      <c r="E187" s="36">
        <v>42825.0</v>
      </c>
      <c r="F187" t="str">
        <f t="shared" si="2"/>
        <v>2017-03</v>
      </c>
      <c r="H187" s="52"/>
      <c r="I187" s="44"/>
      <c r="J187" s="61">
        <v>0.0</v>
      </c>
    </row>
    <row r="188">
      <c r="B188" s="50"/>
      <c r="C188" s="59"/>
      <c r="E188" s="36">
        <v>42919.0</v>
      </c>
      <c r="F188" t="str">
        <f t="shared" si="2"/>
        <v>2017-07</v>
      </c>
      <c r="H188" s="52"/>
      <c r="I188" s="44"/>
      <c r="J188" s="61">
        <v>0.0</v>
      </c>
    </row>
    <row r="189">
      <c r="B189" s="50"/>
      <c r="C189" s="59"/>
      <c r="E189" s="36">
        <v>42965.0</v>
      </c>
      <c r="F189" t="str">
        <f t="shared" si="2"/>
        <v>2017-08</v>
      </c>
      <c r="H189" s="52"/>
      <c r="I189" s="44"/>
      <c r="J189" s="61">
        <v>0.0</v>
      </c>
    </row>
    <row r="190">
      <c r="B190" s="50"/>
      <c r="C190" s="59"/>
      <c r="E190" s="36"/>
      <c r="H190" s="52"/>
      <c r="I190" s="44"/>
      <c r="J190" s="63"/>
    </row>
    <row r="191">
      <c r="B191" s="50"/>
      <c r="C191" s="59"/>
      <c r="E191" s="36"/>
      <c r="H191" s="52"/>
      <c r="I191" s="44"/>
      <c r="J191" s="63"/>
    </row>
    <row r="192">
      <c r="B192" s="50"/>
      <c r="C192" s="59"/>
      <c r="E192" s="36"/>
      <c r="H192" s="52"/>
      <c r="I192" s="44"/>
      <c r="J192" s="63"/>
    </row>
    <row r="193">
      <c r="B193" s="50"/>
      <c r="C193" s="59"/>
      <c r="E193" s="36"/>
      <c r="H193" s="52"/>
      <c r="I193" s="44"/>
      <c r="J193" s="63"/>
    </row>
    <row r="194">
      <c r="B194" s="50"/>
      <c r="C194" s="59"/>
      <c r="E194" s="36"/>
      <c r="H194" s="52"/>
      <c r="I194" s="44"/>
      <c r="J194" s="63"/>
    </row>
    <row r="195">
      <c r="B195" s="50"/>
      <c r="C195" s="59"/>
      <c r="E195" s="36"/>
      <c r="H195" s="52"/>
      <c r="I195" s="44"/>
      <c r="J195" s="63"/>
    </row>
    <row r="196">
      <c r="B196" s="50"/>
      <c r="C196" s="59"/>
      <c r="E196" s="36"/>
      <c r="H196" s="52"/>
      <c r="I196" s="44"/>
      <c r="J196" s="63"/>
    </row>
    <row r="197">
      <c r="B197" s="50"/>
      <c r="C197" s="59"/>
      <c r="E197" s="36"/>
      <c r="H197" s="52"/>
      <c r="I197" s="44"/>
      <c r="J197" s="63"/>
    </row>
    <row r="198">
      <c r="B198" s="50"/>
      <c r="C198" s="59"/>
      <c r="E198" s="36"/>
      <c r="H198" s="52"/>
      <c r="I198" s="44"/>
      <c r="J198" s="63"/>
    </row>
    <row r="199">
      <c r="B199" s="50"/>
      <c r="C199" s="59"/>
      <c r="E199" s="36"/>
      <c r="H199" s="52"/>
      <c r="I199" s="44"/>
      <c r="J199" s="63"/>
    </row>
    <row r="200">
      <c r="B200" s="50"/>
      <c r="C200" s="59"/>
      <c r="E200" s="36"/>
      <c r="H200" s="52"/>
      <c r="I200" s="44"/>
      <c r="J200" s="63"/>
    </row>
    <row r="201">
      <c r="B201" s="50"/>
      <c r="C201" s="59"/>
      <c r="E201" s="36"/>
      <c r="H201" s="52"/>
      <c r="I201" s="44"/>
      <c r="J201" s="63"/>
    </row>
    <row r="202">
      <c r="B202" s="50"/>
      <c r="C202" s="59"/>
      <c r="E202" s="36"/>
      <c r="H202" s="52"/>
      <c r="I202" s="44"/>
      <c r="J202" s="63"/>
    </row>
    <row r="203">
      <c r="B203" s="50"/>
      <c r="C203" s="59"/>
      <c r="E203" s="36"/>
      <c r="H203" s="52"/>
      <c r="I203" s="44"/>
      <c r="J203" s="63"/>
    </row>
    <row r="204">
      <c r="B204" s="50"/>
      <c r="C204" s="59"/>
      <c r="E204" s="36"/>
      <c r="H204" s="52"/>
      <c r="I204" s="44"/>
      <c r="J204" s="63"/>
    </row>
    <row r="205">
      <c r="B205" s="50"/>
      <c r="C205" s="59"/>
      <c r="E205" s="36"/>
      <c r="H205" s="52"/>
      <c r="I205" s="44"/>
      <c r="J205" s="63"/>
    </row>
    <row r="206">
      <c r="B206" s="50"/>
      <c r="C206" s="59"/>
      <c r="E206" s="36"/>
      <c r="H206" s="52"/>
      <c r="I206" s="44"/>
      <c r="J206" s="63"/>
    </row>
    <row r="207">
      <c r="B207" s="50"/>
      <c r="C207" s="59"/>
      <c r="E207" s="36"/>
      <c r="H207" s="52"/>
      <c r="I207" s="44"/>
      <c r="J207" s="63"/>
    </row>
    <row r="208">
      <c r="B208" s="50"/>
      <c r="C208" s="59"/>
      <c r="E208" s="36"/>
      <c r="H208" s="52"/>
      <c r="I208" s="44"/>
      <c r="J208" s="63"/>
    </row>
    <row r="209">
      <c r="B209" s="50"/>
      <c r="C209" s="59"/>
      <c r="E209" s="36"/>
      <c r="H209" s="52"/>
      <c r="I209" s="44"/>
      <c r="J209" s="63"/>
    </row>
    <row r="210">
      <c r="B210" s="50"/>
      <c r="C210" s="59"/>
      <c r="E210" s="36"/>
      <c r="H210" s="52"/>
      <c r="I210" s="44"/>
      <c r="J210" s="63"/>
    </row>
    <row r="211">
      <c r="B211" s="50"/>
      <c r="C211" s="59"/>
      <c r="E211" s="36"/>
      <c r="H211" s="52"/>
      <c r="I211" s="44"/>
      <c r="J211" s="63"/>
    </row>
    <row r="212">
      <c r="B212" s="50"/>
      <c r="C212" s="59"/>
      <c r="E212" s="36"/>
      <c r="H212" s="52"/>
      <c r="I212" s="44"/>
      <c r="J212" s="63"/>
    </row>
    <row r="213">
      <c r="B213" s="50"/>
      <c r="C213" s="59"/>
      <c r="E213" s="36"/>
      <c r="H213" s="52"/>
      <c r="I213" s="44"/>
      <c r="J213" s="63"/>
    </row>
    <row r="214">
      <c r="B214" s="50"/>
      <c r="C214" s="59"/>
      <c r="E214" s="36"/>
      <c r="H214" s="52"/>
      <c r="I214" s="44"/>
      <c r="J214" s="63"/>
    </row>
    <row r="215">
      <c r="B215" s="50"/>
      <c r="C215" s="59"/>
      <c r="E215" s="36"/>
      <c r="H215" s="52"/>
      <c r="I215" s="44"/>
      <c r="J215" s="63"/>
    </row>
    <row r="216">
      <c r="B216" s="50"/>
      <c r="C216" s="59"/>
      <c r="E216" s="36"/>
      <c r="H216" s="52"/>
      <c r="I216" s="44"/>
      <c r="J216" s="63"/>
    </row>
    <row r="217">
      <c r="B217" s="50"/>
      <c r="C217" s="59"/>
      <c r="E217" s="36"/>
      <c r="H217" s="52"/>
      <c r="I217" s="44"/>
      <c r="J217" s="63"/>
    </row>
    <row r="218">
      <c r="B218" s="50"/>
      <c r="C218" s="59"/>
      <c r="E218" s="36"/>
      <c r="H218" s="52"/>
      <c r="I218" s="44"/>
      <c r="J218" s="63"/>
    </row>
    <row r="219">
      <c r="B219" s="50"/>
      <c r="C219" s="59"/>
      <c r="E219" s="36"/>
      <c r="H219" s="52"/>
      <c r="I219" s="44"/>
      <c r="J219" s="63"/>
    </row>
    <row r="220">
      <c r="B220" s="50"/>
      <c r="C220" s="59"/>
      <c r="E220" s="36"/>
      <c r="H220" s="52"/>
      <c r="I220" s="44"/>
      <c r="J220" s="63"/>
    </row>
    <row r="221">
      <c r="B221" s="50"/>
      <c r="C221" s="59"/>
      <c r="E221" s="36"/>
      <c r="H221" s="52"/>
      <c r="I221" s="44"/>
      <c r="J221" s="63"/>
    </row>
    <row r="222">
      <c r="B222" s="50"/>
      <c r="C222" s="59"/>
      <c r="E222" s="36"/>
      <c r="H222" s="52"/>
      <c r="I222" s="44"/>
      <c r="J222" s="63"/>
    </row>
    <row r="223">
      <c r="B223" s="50"/>
      <c r="C223" s="59"/>
      <c r="E223" s="36"/>
      <c r="H223" s="52"/>
      <c r="I223" s="44"/>
      <c r="J223" s="63"/>
    </row>
    <row r="224">
      <c r="B224" s="50"/>
      <c r="C224" s="59"/>
      <c r="E224" s="36"/>
      <c r="H224" s="52"/>
      <c r="I224" s="44"/>
      <c r="J224" s="63"/>
    </row>
    <row r="225">
      <c r="B225" s="50"/>
      <c r="C225" s="59"/>
      <c r="E225" s="36"/>
      <c r="H225" s="52"/>
      <c r="I225" s="44"/>
      <c r="J225" s="63"/>
    </row>
    <row r="226">
      <c r="B226" s="50"/>
      <c r="C226" s="59"/>
      <c r="E226" s="36"/>
      <c r="H226" s="52"/>
      <c r="I226" s="44"/>
      <c r="J226" s="63"/>
    </row>
    <row r="227">
      <c r="B227" s="50"/>
      <c r="C227" s="59"/>
      <c r="E227" s="36"/>
      <c r="H227" s="52"/>
      <c r="I227" s="44"/>
      <c r="J227" s="63"/>
    </row>
    <row r="228">
      <c r="B228" s="50"/>
      <c r="C228" s="59"/>
      <c r="E228" s="36"/>
      <c r="H228" s="52"/>
      <c r="I228" s="44"/>
      <c r="J228" s="63"/>
    </row>
    <row r="229">
      <c r="B229" s="50"/>
      <c r="C229" s="59"/>
      <c r="E229" s="36"/>
      <c r="H229" s="52"/>
      <c r="I229" s="44"/>
      <c r="J229" s="63"/>
    </row>
    <row r="230">
      <c r="B230" s="50"/>
      <c r="C230" s="59"/>
      <c r="E230" s="36"/>
      <c r="H230" s="52"/>
      <c r="I230" s="44"/>
      <c r="J230" s="63"/>
    </row>
    <row r="231">
      <c r="B231" s="50"/>
      <c r="C231" s="59"/>
      <c r="E231" s="36"/>
      <c r="H231" s="52"/>
      <c r="I231" s="44"/>
      <c r="J231" s="63"/>
    </row>
    <row r="232">
      <c r="B232" s="50"/>
      <c r="C232" s="59"/>
      <c r="E232" s="36"/>
      <c r="H232" s="52"/>
      <c r="I232" s="44"/>
      <c r="J232" s="63"/>
    </row>
    <row r="233">
      <c r="B233" s="50"/>
      <c r="C233" s="59"/>
      <c r="E233" s="36"/>
      <c r="H233" s="52"/>
      <c r="I233" s="44"/>
      <c r="J233" s="63"/>
    </row>
    <row r="234">
      <c r="B234" s="50"/>
      <c r="C234" s="59"/>
      <c r="E234" s="36"/>
      <c r="H234" s="52"/>
      <c r="I234" s="44"/>
      <c r="J234" s="63"/>
    </row>
    <row r="235">
      <c r="B235" s="50"/>
      <c r="C235" s="59"/>
      <c r="E235" s="36"/>
      <c r="H235" s="52"/>
      <c r="I235" s="44"/>
      <c r="J235" s="63"/>
    </row>
    <row r="236">
      <c r="B236" s="50"/>
      <c r="C236" s="59"/>
      <c r="E236" s="36"/>
      <c r="H236" s="52"/>
      <c r="I236" s="44"/>
      <c r="J236" s="63"/>
    </row>
    <row r="237">
      <c r="B237" s="50"/>
      <c r="C237" s="59"/>
      <c r="E237" s="36"/>
      <c r="H237" s="52"/>
      <c r="I237" s="44"/>
      <c r="J237" s="63"/>
    </row>
    <row r="238">
      <c r="B238" s="50"/>
      <c r="C238" s="59"/>
      <c r="E238" s="36"/>
      <c r="H238" s="52"/>
      <c r="I238" s="44"/>
      <c r="J238" s="63"/>
    </row>
    <row r="239">
      <c r="B239" s="50"/>
      <c r="C239" s="59"/>
      <c r="E239" s="36"/>
      <c r="H239" s="52"/>
      <c r="I239" s="44"/>
      <c r="J239" s="63"/>
    </row>
    <row r="240">
      <c r="B240" s="50"/>
      <c r="C240" s="59"/>
      <c r="E240" s="36"/>
      <c r="H240" s="52"/>
      <c r="I240" s="44"/>
      <c r="J240" s="63"/>
    </row>
    <row r="241">
      <c r="B241" s="50"/>
      <c r="C241" s="59"/>
      <c r="E241" s="36"/>
      <c r="H241" s="52"/>
      <c r="I241" s="44"/>
      <c r="J241" s="63"/>
    </row>
    <row r="242">
      <c r="B242" s="50"/>
      <c r="C242" s="59"/>
      <c r="E242" s="36"/>
      <c r="H242" s="52"/>
      <c r="I242" s="44"/>
      <c r="J242" s="63"/>
    </row>
    <row r="243">
      <c r="B243" s="50"/>
      <c r="C243" s="59"/>
      <c r="E243" s="36"/>
      <c r="H243" s="52"/>
      <c r="I243" s="44"/>
      <c r="J243" s="63"/>
    </row>
    <row r="244">
      <c r="B244" s="50"/>
      <c r="C244" s="59"/>
      <c r="E244" s="36"/>
      <c r="H244" s="52"/>
      <c r="I244" s="44"/>
      <c r="J244" s="63"/>
    </row>
    <row r="245">
      <c r="B245" s="50"/>
      <c r="C245" s="59"/>
      <c r="E245" s="36"/>
      <c r="H245" s="52"/>
      <c r="I245" s="44"/>
      <c r="J245" s="63"/>
    </row>
    <row r="246">
      <c r="B246" s="50"/>
      <c r="C246" s="59"/>
      <c r="E246" s="36"/>
      <c r="H246" s="52"/>
      <c r="I246" s="44"/>
      <c r="J246" s="63"/>
    </row>
    <row r="247">
      <c r="B247" s="50"/>
      <c r="C247" s="59"/>
      <c r="E247" s="36"/>
      <c r="H247" s="52"/>
      <c r="I247" s="44"/>
      <c r="J247" s="63"/>
    </row>
    <row r="248">
      <c r="B248" s="50"/>
      <c r="C248" s="59"/>
      <c r="E248" s="36"/>
      <c r="H248" s="52"/>
      <c r="I248" s="44"/>
      <c r="J248" s="63"/>
    </row>
    <row r="249">
      <c r="B249" s="50"/>
      <c r="C249" s="59"/>
      <c r="E249" s="36"/>
      <c r="H249" s="52"/>
      <c r="I249" s="44"/>
      <c r="J249" s="63"/>
    </row>
    <row r="250">
      <c r="B250" s="50"/>
      <c r="C250" s="59"/>
      <c r="E250" s="36"/>
      <c r="H250" s="52"/>
      <c r="I250" s="44"/>
      <c r="J250" s="63"/>
    </row>
    <row r="251">
      <c r="B251" s="50"/>
      <c r="C251" s="59"/>
      <c r="E251" s="36"/>
      <c r="H251" s="52"/>
      <c r="I251" s="44"/>
      <c r="J251" s="63"/>
    </row>
    <row r="252">
      <c r="B252" s="50"/>
      <c r="C252" s="59"/>
      <c r="E252" s="36"/>
      <c r="H252" s="52"/>
      <c r="I252" s="44"/>
      <c r="J252" s="63"/>
    </row>
    <row r="253">
      <c r="B253" s="50"/>
      <c r="C253" s="59"/>
      <c r="E253" s="36"/>
      <c r="H253" s="52"/>
      <c r="I253" s="44"/>
      <c r="J253" s="63"/>
    </row>
    <row r="254">
      <c r="B254" s="50"/>
      <c r="C254" s="59"/>
      <c r="E254" s="36"/>
      <c r="H254" s="52"/>
      <c r="I254" s="44"/>
      <c r="J254" s="63"/>
    </row>
    <row r="255">
      <c r="B255" s="50"/>
      <c r="C255" s="59"/>
      <c r="E255" s="36"/>
      <c r="H255" s="52"/>
      <c r="I255" s="44"/>
      <c r="J255" s="63"/>
    </row>
    <row r="256">
      <c r="B256" s="50"/>
      <c r="C256" s="59"/>
      <c r="E256" s="36"/>
      <c r="H256" s="52"/>
      <c r="I256" s="44"/>
      <c r="J256" s="63"/>
    </row>
    <row r="257">
      <c r="B257" s="50"/>
      <c r="C257" s="59"/>
      <c r="E257" s="36"/>
      <c r="H257" s="52"/>
      <c r="I257" s="44"/>
      <c r="J257" s="63"/>
    </row>
    <row r="258">
      <c r="B258" s="50"/>
      <c r="C258" s="59"/>
      <c r="E258" s="36"/>
      <c r="H258" s="52"/>
      <c r="I258" s="44"/>
      <c r="J258" s="63"/>
    </row>
    <row r="259">
      <c r="B259" s="50"/>
      <c r="C259" s="59"/>
      <c r="E259" s="36"/>
      <c r="H259" s="52"/>
      <c r="I259" s="44"/>
      <c r="J259" s="63"/>
    </row>
    <row r="260">
      <c r="B260" s="50"/>
      <c r="C260" s="59"/>
      <c r="E260" s="36"/>
      <c r="H260" s="52"/>
      <c r="I260" s="44"/>
      <c r="J260" s="63"/>
    </row>
    <row r="261">
      <c r="B261" s="50"/>
      <c r="C261" s="59"/>
      <c r="E261" s="36"/>
      <c r="H261" s="52"/>
      <c r="I261" s="44"/>
      <c r="J261" s="63"/>
    </row>
    <row r="262">
      <c r="B262" s="50"/>
      <c r="C262" s="59"/>
      <c r="E262" s="36"/>
      <c r="H262" s="52"/>
      <c r="I262" s="44"/>
      <c r="J262" s="63"/>
    </row>
    <row r="263">
      <c r="B263" s="50"/>
      <c r="C263" s="59"/>
      <c r="E263" s="36"/>
      <c r="H263" s="52"/>
      <c r="I263" s="44"/>
      <c r="J263" s="63"/>
    </row>
    <row r="264">
      <c r="B264" s="50"/>
      <c r="C264" s="59"/>
      <c r="E264" s="36"/>
      <c r="H264" s="52"/>
      <c r="I264" s="44"/>
      <c r="J264" s="63"/>
    </row>
    <row r="265">
      <c r="B265" s="50"/>
      <c r="C265" s="59"/>
      <c r="E265" s="36"/>
      <c r="H265" s="52"/>
      <c r="I265" s="44"/>
      <c r="J265" s="63"/>
    </row>
    <row r="266">
      <c r="B266" s="50"/>
      <c r="C266" s="59"/>
      <c r="E266" s="36"/>
      <c r="H266" s="52"/>
      <c r="I266" s="44"/>
      <c r="J266" s="63"/>
    </row>
    <row r="267">
      <c r="B267" s="50"/>
      <c r="C267" s="59"/>
      <c r="E267" s="36"/>
      <c r="H267" s="52"/>
      <c r="I267" s="44"/>
      <c r="J267" s="63"/>
    </row>
    <row r="268">
      <c r="B268" s="50"/>
      <c r="C268" s="59"/>
      <c r="E268" s="36"/>
      <c r="H268" s="52"/>
      <c r="I268" s="44"/>
      <c r="J268" s="63"/>
    </row>
    <row r="269">
      <c r="B269" s="50"/>
      <c r="C269" s="59"/>
      <c r="E269" s="36"/>
      <c r="H269" s="52"/>
      <c r="I269" s="44"/>
      <c r="J269" s="63"/>
    </row>
    <row r="270">
      <c r="B270" s="50"/>
      <c r="C270" s="59"/>
      <c r="E270" s="36"/>
      <c r="H270" s="52"/>
      <c r="I270" s="44"/>
      <c r="J270" s="63"/>
    </row>
    <row r="271">
      <c r="B271" s="50"/>
      <c r="C271" s="59"/>
      <c r="H271" s="52"/>
      <c r="I271" s="44"/>
      <c r="J271" s="63"/>
    </row>
    <row r="272">
      <c r="B272" s="50"/>
      <c r="C272" s="59"/>
      <c r="H272" s="52"/>
      <c r="I272" s="44"/>
      <c r="J272" s="63"/>
    </row>
    <row r="273">
      <c r="B273" s="50"/>
      <c r="C273" s="59"/>
      <c r="H273" s="52"/>
      <c r="I273" s="44"/>
      <c r="J273" s="63"/>
    </row>
    <row r="274">
      <c r="B274" s="50"/>
      <c r="C274" s="59"/>
      <c r="H274" s="52"/>
      <c r="I274" s="44"/>
      <c r="J274" s="63"/>
    </row>
    <row r="275">
      <c r="B275" s="50"/>
      <c r="C275" s="59"/>
      <c r="H275" s="52"/>
      <c r="I275" s="44"/>
      <c r="J275" s="63"/>
    </row>
    <row r="276">
      <c r="B276" s="50"/>
      <c r="C276" s="59"/>
      <c r="H276" s="52"/>
      <c r="I276" s="44"/>
      <c r="J276" s="63"/>
    </row>
    <row r="277">
      <c r="B277" s="50"/>
      <c r="C277" s="59"/>
      <c r="H277" s="52"/>
      <c r="I277" s="44"/>
      <c r="J277" s="63"/>
    </row>
    <row r="278">
      <c r="B278" s="50"/>
      <c r="C278" s="59"/>
      <c r="H278" s="52"/>
      <c r="I278" s="44"/>
      <c r="J278" s="63"/>
    </row>
    <row r="279">
      <c r="B279" s="50"/>
      <c r="C279" s="59"/>
      <c r="H279" s="52"/>
      <c r="I279" s="44"/>
      <c r="J279" s="63"/>
    </row>
    <row r="280">
      <c r="B280" s="50"/>
      <c r="C280" s="59"/>
      <c r="H280" s="52"/>
      <c r="I280" s="44"/>
      <c r="J280" s="63"/>
    </row>
    <row r="281">
      <c r="B281" s="50"/>
      <c r="C281" s="59"/>
      <c r="H281" s="52"/>
      <c r="I281" s="44"/>
      <c r="J281" s="63"/>
    </row>
    <row r="282">
      <c r="B282" s="50"/>
      <c r="C282" s="59"/>
      <c r="H282" s="52"/>
      <c r="I282" s="44"/>
      <c r="J282" s="63"/>
    </row>
    <row r="283">
      <c r="B283" s="50"/>
      <c r="C283" s="59"/>
      <c r="H283" s="52"/>
      <c r="I283" s="44"/>
      <c r="J283" s="63"/>
    </row>
    <row r="284">
      <c r="B284" s="50"/>
      <c r="C284" s="59"/>
      <c r="H284" s="52"/>
      <c r="I284" s="44"/>
      <c r="J284" s="63"/>
    </row>
    <row r="285">
      <c r="B285" s="50"/>
      <c r="C285" s="59"/>
      <c r="H285" s="52"/>
      <c r="I285" s="44"/>
      <c r="J285" s="63"/>
    </row>
    <row r="286">
      <c r="B286" s="50"/>
      <c r="C286" s="59"/>
      <c r="H286" s="52"/>
      <c r="I286" s="44"/>
      <c r="J286" s="63"/>
    </row>
    <row r="287">
      <c r="B287" s="50"/>
      <c r="C287" s="59"/>
      <c r="H287" s="52"/>
      <c r="I287" s="44"/>
      <c r="J287" s="63"/>
    </row>
    <row r="288">
      <c r="B288" s="50"/>
      <c r="C288" s="59"/>
      <c r="H288" s="52"/>
      <c r="I288" s="44"/>
      <c r="J288" s="63"/>
    </row>
    <row r="289">
      <c r="B289" s="50"/>
      <c r="C289" s="59"/>
      <c r="H289" s="52"/>
      <c r="I289" s="44"/>
      <c r="J289" s="63"/>
    </row>
    <row r="290">
      <c r="B290" s="50"/>
      <c r="C290" s="59"/>
      <c r="H290" s="52"/>
      <c r="I290" s="44"/>
      <c r="J290" s="63"/>
    </row>
    <row r="291">
      <c r="B291" s="50"/>
      <c r="C291" s="59"/>
      <c r="H291" s="52"/>
      <c r="I291" s="44"/>
      <c r="J291" s="63"/>
    </row>
    <row r="292">
      <c r="B292" s="50"/>
      <c r="C292" s="59"/>
      <c r="H292" s="52"/>
      <c r="I292" s="44"/>
      <c r="J292" s="63"/>
    </row>
    <row r="293">
      <c r="B293" s="50"/>
      <c r="C293" s="59"/>
      <c r="H293" s="52"/>
      <c r="I293" s="44"/>
      <c r="J293" s="63"/>
    </row>
    <row r="294">
      <c r="B294" s="50"/>
      <c r="C294" s="59"/>
      <c r="H294" s="52"/>
      <c r="I294" s="44"/>
      <c r="J294" s="63"/>
    </row>
    <row r="295">
      <c r="B295" s="50"/>
      <c r="C295" s="59"/>
      <c r="H295" s="52"/>
      <c r="I295" s="44"/>
      <c r="J295" s="63"/>
    </row>
    <row r="296">
      <c r="B296" s="50"/>
      <c r="C296" s="59"/>
      <c r="H296" s="52"/>
      <c r="I296" s="44"/>
      <c r="J296" s="63"/>
    </row>
    <row r="297">
      <c r="B297" s="50"/>
      <c r="C297" s="59"/>
      <c r="H297" s="52"/>
      <c r="I297" s="44"/>
      <c r="J297" s="63"/>
    </row>
    <row r="298">
      <c r="B298" s="50"/>
      <c r="C298" s="59"/>
      <c r="H298" s="52"/>
      <c r="I298" s="44"/>
      <c r="J298" s="63"/>
    </row>
    <row r="299">
      <c r="B299" s="50"/>
      <c r="C299" s="59"/>
      <c r="H299" s="52"/>
      <c r="I299" s="44"/>
      <c r="J299" s="63"/>
    </row>
    <row r="300">
      <c r="B300" s="50"/>
      <c r="C300" s="59"/>
      <c r="H300" s="52"/>
      <c r="I300" s="44"/>
      <c r="J300" s="63"/>
    </row>
    <row r="301">
      <c r="B301" s="50"/>
      <c r="C301" s="59"/>
      <c r="H301" s="52"/>
      <c r="I301" s="44"/>
      <c r="J301" s="63"/>
    </row>
    <row r="302">
      <c r="B302" s="50"/>
      <c r="C302" s="59"/>
      <c r="H302" s="52"/>
      <c r="I302" s="44"/>
      <c r="J302" s="63"/>
    </row>
    <row r="303">
      <c r="B303" s="50"/>
      <c r="C303" s="59"/>
      <c r="H303" s="52"/>
      <c r="I303" s="44"/>
      <c r="J303" s="63"/>
    </row>
    <row r="304">
      <c r="B304" s="50"/>
      <c r="C304" s="59"/>
      <c r="H304" s="52"/>
      <c r="I304" s="44"/>
      <c r="J304" s="63"/>
    </row>
    <row r="305">
      <c r="B305" s="50"/>
      <c r="C305" s="59"/>
      <c r="H305" s="52"/>
      <c r="I305" s="44"/>
      <c r="J305" s="63"/>
    </row>
    <row r="306">
      <c r="B306" s="50"/>
      <c r="C306" s="59"/>
      <c r="H306" s="52"/>
      <c r="I306" s="44"/>
      <c r="J306" s="63"/>
    </row>
    <row r="307">
      <c r="B307" s="50"/>
      <c r="C307" s="59"/>
      <c r="H307" s="52"/>
      <c r="I307" s="44"/>
      <c r="J307" s="63"/>
    </row>
    <row r="308">
      <c r="B308" s="50"/>
      <c r="C308" s="59"/>
      <c r="H308" s="52"/>
      <c r="I308" s="44"/>
      <c r="J308" s="63"/>
    </row>
    <row r="309">
      <c r="B309" s="50"/>
      <c r="C309" s="59"/>
      <c r="H309" s="52"/>
      <c r="I309" s="44"/>
      <c r="J309" s="63"/>
    </row>
    <row r="310">
      <c r="B310" s="50"/>
      <c r="C310" s="59"/>
      <c r="H310" s="52"/>
      <c r="I310" s="44"/>
      <c r="J310" s="63"/>
    </row>
    <row r="311">
      <c r="B311" s="50"/>
      <c r="C311" s="59"/>
      <c r="H311" s="52"/>
      <c r="I311" s="44"/>
      <c r="J311" s="63"/>
    </row>
    <row r="312">
      <c r="B312" s="50"/>
      <c r="C312" s="59"/>
      <c r="H312" s="52"/>
      <c r="I312" s="44"/>
      <c r="J312" s="63"/>
    </row>
    <row r="313">
      <c r="B313" s="50"/>
      <c r="C313" s="59"/>
      <c r="H313" s="52"/>
      <c r="I313" s="44"/>
      <c r="J313" s="63"/>
    </row>
    <row r="314">
      <c r="B314" s="50"/>
      <c r="C314" s="59"/>
      <c r="H314" s="52"/>
      <c r="I314" s="44"/>
      <c r="J314" s="63"/>
    </row>
    <row r="315">
      <c r="B315" s="50"/>
      <c r="C315" s="59"/>
      <c r="H315" s="52"/>
      <c r="I315" s="44"/>
      <c r="J315" s="63"/>
    </row>
    <row r="316">
      <c r="B316" s="50"/>
      <c r="C316" s="59"/>
      <c r="H316" s="52"/>
      <c r="I316" s="44"/>
      <c r="J316" s="63"/>
    </row>
    <row r="317">
      <c r="B317" s="50"/>
      <c r="C317" s="59"/>
      <c r="H317" s="52"/>
      <c r="I317" s="44"/>
      <c r="J317" s="63"/>
    </row>
    <row r="318">
      <c r="B318" s="50"/>
      <c r="C318" s="59"/>
      <c r="H318" s="52"/>
      <c r="I318" s="44"/>
      <c r="J318" s="63"/>
    </row>
    <row r="319">
      <c r="B319" s="50"/>
      <c r="C319" s="59"/>
      <c r="H319" s="52"/>
      <c r="I319" s="44"/>
      <c r="J319" s="63"/>
    </row>
    <row r="320">
      <c r="B320" s="50"/>
      <c r="C320" s="59"/>
      <c r="H320" s="52"/>
      <c r="I320" s="44"/>
      <c r="J320" s="63"/>
    </row>
    <row r="321">
      <c r="B321" s="50"/>
      <c r="C321" s="59"/>
      <c r="H321" s="52"/>
      <c r="I321" s="44"/>
      <c r="J321" s="63"/>
    </row>
    <row r="322">
      <c r="B322" s="50"/>
      <c r="C322" s="59"/>
      <c r="H322" s="52"/>
      <c r="I322" s="44"/>
      <c r="J322" s="63"/>
    </row>
    <row r="323">
      <c r="B323" s="50"/>
      <c r="C323" s="59"/>
      <c r="H323" s="52"/>
      <c r="I323" s="44"/>
      <c r="J323" s="63"/>
    </row>
    <row r="324">
      <c r="B324" s="50"/>
      <c r="C324" s="59"/>
      <c r="H324" s="52"/>
      <c r="I324" s="44"/>
      <c r="J324" s="63"/>
    </row>
    <row r="325">
      <c r="B325" s="50"/>
      <c r="C325" s="59"/>
      <c r="H325" s="52"/>
      <c r="I325" s="44"/>
      <c r="J325" s="63"/>
    </row>
    <row r="326">
      <c r="B326" s="50"/>
      <c r="C326" s="59"/>
      <c r="H326" s="52"/>
      <c r="I326" s="44"/>
      <c r="J326" s="63"/>
    </row>
    <row r="327">
      <c r="B327" s="50"/>
      <c r="C327" s="59"/>
      <c r="H327" s="52"/>
      <c r="I327" s="44"/>
      <c r="J327" s="63"/>
    </row>
    <row r="328">
      <c r="B328" s="50"/>
      <c r="C328" s="59"/>
      <c r="H328" s="52"/>
      <c r="I328" s="44"/>
      <c r="J328" s="63"/>
    </row>
    <row r="329">
      <c r="B329" s="50"/>
      <c r="C329" s="59"/>
      <c r="H329" s="52"/>
      <c r="I329" s="44"/>
      <c r="J329" s="63"/>
    </row>
    <row r="330">
      <c r="B330" s="50"/>
      <c r="C330" s="59"/>
      <c r="H330" s="52"/>
      <c r="I330" s="44"/>
      <c r="J330" s="63"/>
    </row>
    <row r="331">
      <c r="B331" s="50"/>
      <c r="C331" s="59"/>
      <c r="H331" s="52"/>
      <c r="I331" s="44"/>
      <c r="J331" s="63"/>
    </row>
    <row r="332">
      <c r="B332" s="50"/>
      <c r="C332" s="59"/>
      <c r="H332" s="52"/>
      <c r="I332" s="44"/>
      <c r="J332" s="63"/>
    </row>
    <row r="333">
      <c r="B333" s="50"/>
      <c r="C333" s="59"/>
      <c r="H333" s="52"/>
      <c r="I333" s="44"/>
      <c r="J333" s="63"/>
    </row>
    <row r="334">
      <c r="B334" s="50"/>
      <c r="C334" s="59"/>
      <c r="H334" s="52"/>
      <c r="I334" s="44"/>
      <c r="J334" s="63"/>
    </row>
    <row r="335">
      <c r="B335" s="50"/>
      <c r="C335" s="59"/>
      <c r="H335" s="52"/>
      <c r="I335" s="44"/>
      <c r="J335" s="63"/>
    </row>
    <row r="336">
      <c r="B336" s="50"/>
      <c r="C336" s="59"/>
      <c r="H336" s="52"/>
      <c r="I336" s="44"/>
      <c r="J336" s="63"/>
    </row>
    <row r="337">
      <c r="B337" s="50"/>
      <c r="C337" s="59"/>
      <c r="H337" s="52"/>
      <c r="I337" s="44"/>
      <c r="J337" s="63"/>
    </row>
    <row r="338">
      <c r="B338" s="50"/>
      <c r="C338" s="59"/>
      <c r="H338" s="52"/>
      <c r="I338" s="44"/>
      <c r="J338" s="63"/>
    </row>
    <row r="339">
      <c r="B339" s="50"/>
      <c r="C339" s="59"/>
      <c r="H339" s="52"/>
      <c r="I339" s="44"/>
      <c r="J339" s="63"/>
    </row>
    <row r="340">
      <c r="B340" s="50"/>
      <c r="C340" s="59"/>
      <c r="H340" s="52"/>
      <c r="I340" s="44"/>
      <c r="J340" s="63"/>
    </row>
    <row r="341">
      <c r="B341" s="50"/>
      <c r="C341" s="59"/>
      <c r="H341" s="52"/>
      <c r="I341" s="44"/>
      <c r="J341" s="63"/>
    </row>
    <row r="342">
      <c r="B342" s="50"/>
      <c r="C342" s="59"/>
      <c r="H342" s="52"/>
      <c r="I342" s="44"/>
      <c r="J342" s="63"/>
    </row>
    <row r="343">
      <c r="B343" s="50"/>
      <c r="C343" s="59"/>
      <c r="H343" s="52"/>
      <c r="I343" s="44"/>
      <c r="J343" s="63"/>
    </row>
    <row r="344">
      <c r="B344" s="50"/>
      <c r="C344" s="59"/>
      <c r="H344" s="52"/>
      <c r="I344" s="44"/>
      <c r="J344" s="63"/>
    </row>
    <row r="345">
      <c r="B345" s="50"/>
      <c r="C345" s="59"/>
      <c r="H345" s="52"/>
      <c r="I345" s="44"/>
      <c r="J345" s="63"/>
    </row>
    <row r="346">
      <c r="B346" s="50"/>
      <c r="C346" s="59"/>
      <c r="H346" s="52"/>
      <c r="I346" s="44"/>
      <c r="J346" s="63"/>
    </row>
    <row r="347">
      <c r="B347" s="50"/>
      <c r="C347" s="59"/>
      <c r="H347" s="52"/>
      <c r="I347" s="44"/>
      <c r="J347" s="63"/>
    </row>
    <row r="348">
      <c r="B348" s="50"/>
      <c r="C348" s="59"/>
      <c r="H348" s="52"/>
      <c r="I348" s="44"/>
      <c r="J348" s="63"/>
    </row>
    <row r="349">
      <c r="B349" s="50"/>
      <c r="C349" s="59"/>
      <c r="H349" s="52"/>
      <c r="I349" s="44"/>
      <c r="J349" s="63"/>
    </row>
    <row r="350">
      <c r="B350" s="50"/>
      <c r="C350" s="59"/>
      <c r="H350" s="52"/>
      <c r="I350" s="44"/>
      <c r="J350" s="63"/>
    </row>
    <row r="351">
      <c r="B351" s="50"/>
      <c r="C351" s="59"/>
      <c r="H351" s="52"/>
      <c r="I351" s="44"/>
      <c r="J351" s="63"/>
    </row>
    <row r="352">
      <c r="B352" s="50"/>
      <c r="C352" s="59"/>
      <c r="H352" s="52"/>
      <c r="I352" s="44"/>
      <c r="J352" s="63"/>
    </row>
    <row r="353">
      <c r="B353" s="50"/>
      <c r="C353" s="59"/>
      <c r="H353" s="52"/>
      <c r="I353" s="44"/>
      <c r="J353" s="63"/>
    </row>
    <row r="354">
      <c r="B354" s="50"/>
      <c r="C354" s="59"/>
      <c r="H354" s="52"/>
      <c r="I354" s="44"/>
      <c r="J354" s="63"/>
    </row>
    <row r="355">
      <c r="B355" s="50"/>
      <c r="C355" s="59"/>
      <c r="H355" s="52"/>
      <c r="I355" s="44"/>
      <c r="J355" s="63"/>
    </row>
    <row r="356">
      <c r="B356" s="50"/>
      <c r="C356" s="59"/>
      <c r="H356" s="52"/>
      <c r="I356" s="44"/>
      <c r="J356" s="63"/>
    </row>
    <row r="357">
      <c r="B357" s="50"/>
      <c r="C357" s="59"/>
      <c r="H357" s="52"/>
      <c r="I357" s="44"/>
      <c r="J357" s="63"/>
    </row>
    <row r="358">
      <c r="B358" s="50"/>
      <c r="C358" s="59"/>
      <c r="H358" s="52"/>
      <c r="I358" s="44"/>
      <c r="J358" s="63"/>
    </row>
    <row r="359">
      <c r="B359" s="50"/>
      <c r="C359" s="59"/>
      <c r="H359" s="52"/>
      <c r="I359" s="44"/>
      <c r="J359" s="63"/>
    </row>
    <row r="360">
      <c r="B360" s="50"/>
      <c r="C360" s="59"/>
      <c r="H360" s="52"/>
      <c r="I360" s="44"/>
      <c r="J360" s="63"/>
    </row>
    <row r="361">
      <c r="B361" s="50"/>
      <c r="C361" s="59"/>
      <c r="H361" s="52"/>
      <c r="I361" s="44"/>
      <c r="J361" s="63"/>
    </row>
    <row r="362">
      <c r="B362" s="50"/>
      <c r="C362" s="59"/>
      <c r="H362" s="52"/>
      <c r="I362" s="44"/>
      <c r="J362" s="63"/>
    </row>
    <row r="363">
      <c r="B363" s="50"/>
      <c r="C363" s="59"/>
      <c r="H363" s="52"/>
      <c r="I363" s="44"/>
      <c r="J363" s="63"/>
    </row>
    <row r="364">
      <c r="B364" s="50"/>
      <c r="C364" s="59"/>
      <c r="H364" s="52"/>
      <c r="I364" s="44"/>
      <c r="J364" s="63"/>
    </row>
    <row r="365">
      <c r="B365" s="50"/>
      <c r="C365" s="59"/>
      <c r="H365" s="52"/>
      <c r="I365" s="44"/>
      <c r="J365" s="63"/>
    </row>
    <row r="366">
      <c r="B366" s="50"/>
      <c r="C366" s="59"/>
      <c r="H366" s="52"/>
      <c r="I366" s="44"/>
      <c r="J366" s="63"/>
    </row>
    <row r="367">
      <c r="B367" s="50"/>
      <c r="C367" s="59"/>
      <c r="H367" s="52"/>
      <c r="I367" s="44"/>
      <c r="J367" s="63"/>
    </row>
    <row r="368">
      <c r="B368" s="50"/>
      <c r="C368" s="59"/>
      <c r="H368" s="52"/>
      <c r="I368" s="44"/>
      <c r="J368" s="63"/>
    </row>
    <row r="369">
      <c r="B369" s="50"/>
      <c r="C369" s="59"/>
      <c r="H369" s="52"/>
      <c r="I369" s="44"/>
      <c r="J369" s="63"/>
    </row>
    <row r="370">
      <c r="B370" s="50"/>
      <c r="C370" s="59"/>
      <c r="H370" s="52"/>
      <c r="I370" s="44"/>
      <c r="J370" s="63"/>
    </row>
    <row r="371">
      <c r="B371" s="50"/>
      <c r="C371" s="59"/>
      <c r="H371" s="52"/>
      <c r="I371" s="44"/>
      <c r="J371" s="63"/>
    </row>
    <row r="372">
      <c r="B372" s="50"/>
      <c r="C372" s="59"/>
      <c r="H372" s="52"/>
      <c r="I372" s="44"/>
      <c r="J372" s="63"/>
    </row>
    <row r="373">
      <c r="B373" s="50"/>
      <c r="C373" s="59"/>
      <c r="H373" s="52"/>
      <c r="I373" s="44"/>
      <c r="J373" s="63"/>
    </row>
    <row r="374">
      <c r="B374" s="50"/>
      <c r="C374" s="59"/>
      <c r="H374" s="52"/>
      <c r="I374" s="44"/>
      <c r="J374" s="63"/>
    </row>
    <row r="375">
      <c r="B375" s="50"/>
      <c r="C375" s="59"/>
      <c r="H375" s="52"/>
      <c r="I375" s="44"/>
      <c r="J375" s="63"/>
    </row>
    <row r="376">
      <c r="B376" s="50"/>
      <c r="C376" s="59"/>
      <c r="H376" s="52"/>
      <c r="I376" s="44"/>
      <c r="J376" s="63"/>
    </row>
    <row r="377">
      <c r="B377" s="50"/>
      <c r="C377" s="59"/>
      <c r="H377" s="52"/>
      <c r="I377" s="44"/>
      <c r="J377" s="63"/>
    </row>
    <row r="378">
      <c r="B378" s="50"/>
      <c r="C378" s="59"/>
      <c r="H378" s="52"/>
      <c r="I378" s="44"/>
      <c r="J378" s="63"/>
    </row>
    <row r="379">
      <c r="B379" s="50"/>
      <c r="C379" s="59"/>
      <c r="H379" s="52"/>
      <c r="I379" s="44"/>
      <c r="J379" s="63"/>
    </row>
    <row r="380">
      <c r="B380" s="50"/>
      <c r="C380" s="59"/>
      <c r="H380" s="52"/>
      <c r="I380" s="44"/>
      <c r="J380" s="63"/>
    </row>
    <row r="381">
      <c r="B381" s="50"/>
      <c r="C381" s="59"/>
      <c r="H381" s="52"/>
      <c r="I381" s="44"/>
      <c r="J381" s="63"/>
    </row>
    <row r="382">
      <c r="B382" s="50"/>
      <c r="C382" s="59"/>
      <c r="H382" s="52"/>
      <c r="I382" s="44"/>
      <c r="J382" s="63"/>
    </row>
    <row r="383">
      <c r="B383" s="50"/>
      <c r="C383" s="59"/>
      <c r="H383" s="52"/>
      <c r="I383" s="44"/>
      <c r="J383" s="63"/>
    </row>
    <row r="384">
      <c r="B384" s="50"/>
      <c r="C384" s="59"/>
      <c r="H384" s="52"/>
      <c r="I384" s="44"/>
      <c r="J384" s="63"/>
    </row>
    <row r="385">
      <c r="B385" s="50"/>
      <c r="C385" s="59"/>
      <c r="H385" s="52"/>
      <c r="I385" s="44"/>
      <c r="J385" s="63"/>
    </row>
    <row r="386">
      <c r="B386" s="50"/>
      <c r="C386" s="59"/>
      <c r="H386" s="52"/>
      <c r="I386" s="44"/>
      <c r="J386" s="63"/>
    </row>
    <row r="387">
      <c r="B387" s="50"/>
      <c r="C387" s="59"/>
      <c r="H387" s="52"/>
      <c r="I387" s="44"/>
      <c r="J387" s="63"/>
    </row>
    <row r="388">
      <c r="B388" s="50"/>
      <c r="C388" s="59"/>
      <c r="H388" s="52"/>
      <c r="I388" s="44"/>
      <c r="J388" s="63"/>
    </row>
    <row r="389">
      <c r="B389" s="50"/>
      <c r="C389" s="59"/>
      <c r="H389" s="52"/>
      <c r="I389" s="44"/>
      <c r="J389" s="63"/>
    </row>
    <row r="390">
      <c r="B390" s="50"/>
      <c r="C390" s="59"/>
      <c r="H390" s="52"/>
      <c r="I390" s="44"/>
      <c r="J390" s="63"/>
    </row>
    <row r="391">
      <c r="B391" s="50"/>
      <c r="C391" s="59"/>
      <c r="H391" s="52"/>
      <c r="I391" s="44"/>
      <c r="J391" s="63"/>
    </row>
    <row r="392">
      <c r="B392" s="50"/>
      <c r="C392" s="59"/>
      <c r="H392" s="52"/>
      <c r="I392" s="44"/>
      <c r="J392" s="63"/>
    </row>
    <row r="393">
      <c r="B393" s="50"/>
      <c r="C393" s="59"/>
      <c r="H393" s="52"/>
      <c r="I393" s="44"/>
      <c r="J393" s="63"/>
    </row>
    <row r="394">
      <c r="B394" s="50"/>
      <c r="C394" s="59"/>
      <c r="H394" s="52"/>
      <c r="I394" s="44"/>
      <c r="J394" s="63"/>
    </row>
    <row r="395">
      <c r="B395" s="50"/>
      <c r="C395" s="59"/>
      <c r="H395" s="52"/>
      <c r="I395" s="44"/>
      <c r="J395" s="63"/>
    </row>
    <row r="396">
      <c r="B396" s="50"/>
      <c r="C396" s="59"/>
      <c r="H396" s="52"/>
      <c r="I396" s="44"/>
      <c r="J396" s="63"/>
    </row>
    <row r="397">
      <c r="B397" s="50"/>
      <c r="C397" s="59"/>
      <c r="H397" s="52"/>
      <c r="I397" s="44"/>
      <c r="J397" s="63"/>
    </row>
    <row r="398">
      <c r="B398" s="50"/>
      <c r="C398" s="59"/>
      <c r="H398" s="52"/>
      <c r="I398" s="44"/>
      <c r="J398" s="63"/>
    </row>
    <row r="399">
      <c r="B399" s="50"/>
      <c r="C399" s="59"/>
      <c r="H399" s="52"/>
      <c r="I399" s="44"/>
      <c r="J399" s="63"/>
    </row>
    <row r="400">
      <c r="B400" s="50"/>
      <c r="C400" s="59"/>
      <c r="H400" s="52"/>
      <c r="I400" s="44"/>
      <c r="J400" s="63"/>
    </row>
    <row r="401">
      <c r="B401" s="50"/>
      <c r="C401" s="59"/>
      <c r="H401" s="52"/>
      <c r="I401" s="44"/>
      <c r="J401" s="63"/>
    </row>
    <row r="402">
      <c r="B402" s="50"/>
      <c r="C402" s="59"/>
      <c r="H402" s="52"/>
      <c r="I402" s="44"/>
      <c r="J402" s="63"/>
    </row>
    <row r="403">
      <c r="B403" s="50"/>
      <c r="C403" s="59"/>
      <c r="H403" s="52"/>
      <c r="I403" s="44"/>
      <c r="J403" s="63"/>
    </row>
    <row r="404">
      <c r="B404" s="50"/>
      <c r="C404" s="59"/>
      <c r="H404" s="52"/>
      <c r="I404" s="44"/>
      <c r="J404" s="63"/>
    </row>
    <row r="405">
      <c r="B405" s="50"/>
      <c r="C405" s="59"/>
      <c r="H405" s="52"/>
      <c r="I405" s="44"/>
      <c r="J405" s="63"/>
    </row>
    <row r="406">
      <c r="B406" s="50"/>
      <c r="C406" s="59"/>
      <c r="H406" s="52"/>
      <c r="I406" s="44"/>
      <c r="J406" s="63"/>
    </row>
    <row r="407">
      <c r="B407" s="50"/>
      <c r="C407" s="59"/>
      <c r="H407" s="52"/>
      <c r="I407" s="44"/>
      <c r="J407" s="63"/>
    </row>
    <row r="408">
      <c r="B408" s="50"/>
      <c r="C408" s="59"/>
      <c r="H408" s="52"/>
      <c r="I408" s="44"/>
      <c r="J408" s="63"/>
    </row>
    <row r="409">
      <c r="B409" s="50"/>
      <c r="C409" s="59"/>
      <c r="H409" s="52"/>
      <c r="I409" s="44"/>
      <c r="J409" s="63"/>
    </row>
    <row r="410">
      <c r="B410" s="50"/>
      <c r="C410" s="59"/>
      <c r="H410" s="52"/>
      <c r="I410" s="44"/>
      <c r="J410" s="63"/>
    </row>
    <row r="411">
      <c r="B411" s="50"/>
      <c r="C411" s="59"/>
      <c r="H411" s="52"/>
      <c r="I411" s="44"/>
      <c r="J411" s="63"/>
    </row>
    <row r="412">
      <c r="B412" s="50"/>
      <c r="C412" s="59"/>
      <c r="H412" s="52"/>
      <c r="I412" s="44"/>
      <c r="J412" s="63"/>
    </row>
    <row r="413">
      <c r="B413" s="50"/>
      <c r="C413" s="59"/>
      <c r="H413" s="52"/>
      <c r="I413" s="44"/>
      <c r="J413" s="63"/>
    </row>
    <row r="414">
      <c r="B414" s="50"/>
      <c r="C414" s="59"/>
      <c r="H414" s="52"/>
      <c r="I414" s="44"/>
      <c r="J414" s="63"/>
    </row>
    <row r="415">
      <c r="B415" s="50"/>
      <c r="C415" s="59"/>
      <c r="H415" s="52"/>
      <c r="I415" s="44"/>
      <c r="J415" s="63"/>
    </row>
    <row r="416">
      <c r="B416" s="50"/>
      <c r="C416" s="59"/>
      <c r="H416" s="52"/>
      <c r="I416" s="44"/>
      <c r="J416" s="63"/>
    </row>
    <row r="417">
      <c r="B417" s="50"/>
      <c r="C417" s="59"/>
      <c r="H417" s="52"/>
      <c r="I417" s="44"/>
      <c r="J417" s="63"/>
    </row>
    <row r="418">
      <c r="B418" s="50"/>
      <c r="C418" s="59"/>
      <c r="H418" s="52"/>
      <c r="I418" s="44"/>
      <c r="J418" s="63"/>
    </row>
    <row r="419">
      <c r="B419" s="50"/>
      <c r="C419" s="59"/>
      <c r="H419" s="52"/>
      <c r="I419" s="44"/>
      <c r="J419" s="63"/>
    </row>
    <row r="420">
      <c r="B420" s="50"/>
      <c r="C420" s="59"/>
      <c r="H420" s="52"/>
      <c r="I420" s="44"/>
      <c r="J420" s="63"/>
    </row>
    <row r="421">
      <c r="B421" s="50"/>
      <c r="C421" s="59"/>
      <c r="H421" s="52"/>
      <c r="I421" s="44"/>
      <c r="J421" s="63"/>
    </row>
    <row r="422">
      <c r="B422" s="50"/>
      <c r="C422" s="59"/>
      <c r="H422" s="52"/>
      <c r="I422" s="44"/>
      <c r="J422" s="63"/>
    </row>
    <row r="423">
      <c r="B423" s="50"/>
      <c r="C423" s="59"/>
      <c r="H423" s="52"/>
      <c r="I423" s="44"/>
      <c r="J423" s="63"/>
    </row>
    <row r="424">
      <c r="B424" s="50"/>
      <c r="C424" s="59"/>
      <c r="H424" s="52"/>
      <c r="I424" s="44"/>
      <c r="J424" s="63"/>
    </row>
    <row r="425">
      <c r="B425" s="50"/>
      <c r="C425" s="59"/>
      <c r="H425" s="52"/>
      <c r="I425" s="44"/>
      <c r="J425" s="63"/>
    </row>
    <row r="426">
      <c r="B426" s="50"/>
      <c r="C426" s="59"/>
      <c r="H426" s="52"/>
      <c r="I426" s="44"/>
      <c r="J426" s="63"/>
    </row>
    <row r="427">
      <c r="B427" s="50"/>
      <c r="C427" s="59"/>
      <c r="H427" s="52"/>
      <c r="I427" s="44"/>
      <c r="J427" s="63"/>
    </row>
    <row r="428">
      <c r="B428" s="50"/>
      <c r="C428" s="59"/>
      <c r="H428" s="52"/>
      <c r="I428" s="44"/>
      <c r="J428" s="63"/>
    </row>
    <row r="429">
      <c r="B429" s="50"/>
      <c r="C429" s="59"/>
      <c r="H429" s="52"/>
      <c r="I429" s="44"/>
      <c r="J429" s="63"/>
    </row>
    <row r="430">
      <c r="B430" s="50"/>
      <c r="C430" s="59"/>
      <c r="H430" s="52"/>
      <c r="I430" s="44"/>
      <c r="J430" s="63"/>
    </row>
    <row r="431">
      <c r="B431" s="50"/>
      <c r="C431" s="59"/>
      <c r="H431" s="52"/>
      <c r="I431" s="44"/>
      <c r="J431" s="63"/>
    </row>
    <row r="432">
      <c r="B432" s="50"/>
      <c r="C432" s="59"/>
      <c r="H432" s="52"/>
      <c r="I432" s="44"/>
      <c r="J432" s="63"/>
    </row>
    <row r="433">
      <c r="B433" s="50"/>
      <c r="C433" s="59"/>
      <c r="H433" s="52"/>
      <c r="I433" s="44"/>
      <c r="J433" s="63"/>
    </row>
    <row r="434">
      <c r="B434" s="50"/>
      <c r="C434" s="59"/>
      <c r="H434" s="52"/>
      <c r="I434" s="44"/>
      <c r="J434" s="63"/>
    </row>
    <row r="435">
      <c r="B435" s="50"/>
      <c r="C435" s="59"/>
      <c r="H435" s="52"/>
      <c r="I435" s="44"/>
      <c r="J435" s="63"/>
    </row>
    <row r="436">
      <c r="B436" s="50"/>
      <c r="C436" s="59"/>
      <c r="H436" s="52"/>
      <c r="I436" s="44"/>
      <c r="J436" s="63"/>
    </row>
    <row r="437">
      <c r="B437" s="50"/>
      <c r="C437" s="59"/>
      <c r="H437" s="52"/>
      <c r="I437" s="44"/>
      <c r="J437" s="63"/>
    </row>
    <row r="438">
      <c r="B438" s="50"/>
      <c r="C438" s="59"/>
      <c r="H438" s="52"/>
      <c r="I438" s="44"/>
      <c r="J438" s="63"/>
    </row>
    <row r="439">
      <c r="B439" s="50"/>
      <c r="C439" s="59"/>
      <c r="H439" s="52"/>
      <c r="I439" s="44"/>
      <c r="J439" s="63"/>
    </row>
    <row r="440">
      <c r="B440" s="50"/>
      <c r="C440" s="59"/>
      <c r="H440" s="52"/>
      <c r="I440" s="44"/>
      <c r="J440" s="63"/>
    </row>
    <row r="441">
      <c r="B441" s="50"/>
      <c r="C441" s="59"/>
      <c r="H441" s="52"/>
      <c r="I441" s="44"/>
      <c r="J441" s="63"/>
    </row>
    <row r="442">
      <c r="B442" s="50"/>
      <c r="C442" s="59"/>
      <c r="H442" s="52"/>
      <c r="I442" s="44"/>
      <c r="J442" s="63"/>
    </row>
    <row r="443">
      <c r="B443" s="50"/>
      <c r="C443" s="59"/>
      <c r="H443" s="52"/>
      <c r="I443" s="44"/>
      <c r="J443" s="63"/>
    </row>
    <row r="444">
      <c r="B444" s="50"/>
      <c r="C444" s="59"/>
      <c r="H444" s="52"/>
      <c r="I444" s="44"/>
      <c r="J444" s="63"/>
    </row>
    <row r="445">
      <c r="B445" s="50"/>
      <c r="C445" s="59"/>
      <c r="H445" s="52"/>
      <c r="I445" s="44"/>
      <c r="J445" s="63"/>
    </row>
    <row r="446">
      <c r="B446" s="50"/>
      <c r="C446" s="59"/>
      <c r="H446" s="52"/>
      <c r="I446" s="44"/>
      <c r="J446" s="63"/>
    </row>
    <row r="447">
      <c r="B447" s="50"/>
      <c r="C447" s="59"/>
      <c r="H447" s="52"/>
      <c r="I447" s="44"/>
      <c r="J447" s="63"/>
    </row>
    <row r="448">
      <c r="B448" s="50"/>
      <c r="C448" s="59"/>
      <c r="H448" s="52"/>
      <c r="I448" s="44"/>
      <c r="J448" s="63"/>
    </row>
    <row r="449">
      <c r="B449" s="50"/>
      <c r="C449" s="59"/>
      <c r="H449" s="52"/>
      <c r="I449" s="44"/>
      <c r="J449" s="63"/>
    </row>
    <row r="450">
      <c r="B450" s="50"/>
      <c r="C450" s="59"/>
      <c r="H450" s="52"/>
      <c r="I450" s="44"/>
      <c r="J450" s="63"/>
    </row>
    <row r="451">
      <c r="B451" s="50"/>
      <c r="C451" s="59"/>
      <c r="H451" s="52"/>
      <c r="I451" s="44"/>
      <c r="J451" s="63"/>
    </row>
    <row r="452">
      <c r="B452" s="50"/>
      <c r="C452" s="59"/>
      <c r="H452" s="52"/>
      <c r="I452" s="44"/>
      <c r="J452" s="63"/>
    </row>
    <row r="453">
      <c r="B453" s="50"/>
      <c r="C453" s="59"/>
      <c r="H453" s="52"/>
      <c r="I453" s="44"/>
      <c r="J453" s="63"/>
    </row>
    <row r="454">
      <c r="B454" s="50"/>
      <c r="C454" s="59"/>
      <c r="H454" s="52"/>
      <c r="I454" s="44"/>
      <c r="J454" s="63"/>
    </row>
    <row r="455">
      <c r="B455" s="50"/>
      <c r="C455" s="59"/>
      <c r="H455" s="52"/>
      <c r="I455" s="44"/>
      <c r="J455" s="63"/>
    </row>
    <row r="456">
      <c r="B456" s="50"/>
      <c r="C456" s="59"/>
      <c r="H456" s="52"/>
      <c r="I456" s="44"/>
      <c r="J456" s="63"/>
    </row>
    <row r="457">
      <c r="B457" s="50"/>
      <c r="C457" s="59"/>
      <c r="H457" s="52"/>
      <c r="I457" s="44"/>
      <c r="J457" s="63"/>
    </row>
    <row r="458">
      <c r="B458" s="50"/>
      <c r="C458" s="59"/>
      <c r="H458" s="52"/>
      <c r="I458" s="44"/>
      <c r="J458" s="63"/>
    </row>
    <row r="459">
      <c r="B459" s="50"/>
      <c r="C459" s="59"/>
      <c r="H459" s="52"/>
      <c r="I459" s="44"/>
      <c r="J459" s="63"/>
    </row>
    <row r="460">
      <c r="B460" s="50"/>
      <c r="C460" s="59"/>
      <c r="H460" s="52"/>
      <c r="I460" s="44"/>
      <c r="J460" s="63"/>
    </row>
    <row r="461">
      <c r="B461" s="50"/>
      <c r="C461" s="59"/>
      <c r="H461" s="52"/>
      <c r="I461" s="44"/>
      <c r="J461" s="63"/>
    </row>
    <row r="462">
      <c r="B462" s="50"/>
      <c r="C462" s="59"/>
      <c r="H462" s="52"/>
      <c r="I462" s="44"/>
      <c r="J462" s="63"/>
    </row>
    <row r="463">
      <c r="B463" s="50"/>
      <c r="C463" s="59"/>
      <c r="H463" s="52"/>
      <c r="I463" s="44"/>
      <c r="J463" s="63"/>
    </row>
    <row r="464">
      <c r="B464" s="50"/>
      <c r="C464" s="59"/>
      <c r="H464" s="52"/>
      <c r="I464" s="44"/>
      <c r="J464" s="63"/>
    </row>
    <row r="465">
      <c r="B465" s="50"/>
      <c r="C465" s="59"/>
      <c r="H465" s="52"/>
      <c r="I465" s="44"/>
      <c r="J465" s="63"/>
    </row>
    <row r="466">
      <c r="B466" s="50"/>
      <c r="C466" s="59"/>
      <c r="H466" s="52"/>
      <c r="I466" s="44"/>
      <c r="J466" s="63"/>
    </row>
    <row r="467">
      <c r="B467" s="50"/>
      <c r="C467" s="59"/>
      <c r="H467" s="52"/>
      <c r="I467" s="44"/>
      <c r="J467" s="63"/>
    </row>
    <row r="468">
      <c r="B468" s="50"/>
      <c r="C468" s="59"/>
      <c r="H468" s="52"/>
      <c r="I468" s="44"/>
      <c r="J468" s="63"/>
    </row>
    <row r="469">
      <c r="B469" s="50"/>
      <c r="C469" s="59"/>
      <c r="H469" s="52"/>
      <c r="I469" s="44"/>
      <c r="J469" s="63"/>
    </row>
    <row r="470">
      <c r="B470" s="50"/>
      <c r="C470" s="59"/>
      <c r="H470" s="52"/>
      <c r="I470" s="44"/>
      <c r="J470" s="63"/>
    </row>
    <row r="471">
      <c r="B471" s="50"/>
      <c r="C471" s="59"/>
      <c r="H471" s="52"/>
      <c r="I471" s="44"/>
      <c r="J471" s="63"/>
    </row>
    <row r="472">
      <c r="B472" s="50"/>
      <c r="C472" s="59"/>
      <c r="H472" s="52"/>
      <c r="I472" s="44"/>
      <c r="J472" s="63"/>
    </row>
    <row r="473">
      <c r="B473" s="50"/>
      <c r="C473" s="59"/>
      <c r="H473" s="52"/>
      <c r="I473" s="44"/>
      <c r="J473" s="63"/>
    </row>
    <row r="474">
      <c r="B474" s="50"/>
      <c r="C474" s="59"/>
      <c r="H474" s="52"/>
      <c r="I474" s="44"/>
      <c r="J474" s="63"/>
    </row>
    <row r="475">
      <c r="B475" s="50"/>
      <c r="C475" s="59"/>
      <c r="H475" s="52"/>
      <c r="I475" s="44"/>
      <c r="J475" s="63"/>
    </row>
    <row r="476">
      <c r="B476" s="50"/>
      <c r="C476" s="59"/>
      <c r="H476" s="52"/>
      <c r="I476" s="44"/>
      <c r="J476" s="63"/>
    </row>
    <row r="477">
      <c r="B477" s="50"/>
      <c r="C477" s="59"/>
      <c r="H477" s="52"/>
      <c r="I477" s="44"/>
      <c r="J477" s="63"/>
    </row>
    <row r="478">
      <c r="B478" s="50"/>
      <c r="C478" s="59"/>
      <c r="H478" s="52"/>
      <c r="I478" s="44"/>
      <c r="J478" s="63"/>
    </row>
    <row r="479">
      <c r="B479" s="50"/>
      <c r="C479" s="59"/>
      <c r="H479" s="52"/>
      <c r="I479" s="44"/>
      <c r="J479" s="63"/>
    </row>
    <row r="480">
      <c r="B480" s="50"/>
      <c r="C480" s="59"/>
      <c r="H480" s="52"/>
      <c r="I480" s="44"/>
      <c r="J480" s="63"/>
    </row>
    <row r="481">
      <c r="B481" s="50"/>
      <c r="C481" s="59"/>
      <c r="H481" s="52"/>
      <c r="I481" s="44"/>
      <c r="J481" s="63"/>
    </row>
    <row r="482">
      <c r="B482" s="50"/>
      <c r="C482" s="59"/>
      <c r="H482" s="52"/>
      <c r="I482" s="44"/>
      <c r="J482" s="63"/>
    </row>
    <row r="483">
      <c r="B483" s="50"/>
      <c r="C483" s="59"/>
      <c r="H483" s="52"/>
      <c r="I483" s="44"/>
      <c r="J483" s="63"/>
    </row>
    <row r="484">
      <c r="B484" s="50"/>
      <c r="C484" s="59"/>
      <c r="H484" s="52"/>
      <c r="I484" s="44"/>
      <c r="J484" s="63"/>
    </row>
    <row r="485">
      <c r="B485" s="50"/>
      <c r="C485" s="59"/>
      <c r="H485" s="52"/>
      <c r="I485" s="44"/>
      <c r="J485" s="63"/>
    </row>
    <row r="486">
      <c r="B486" s="50"/>
      <c r="C486" s="59"/>
      <c r="H486" s="52"/>
      <c r="I486" s="44"/>
      <c r="J486" s="63"/>
    </row>
    <row r="487">
      <c r="B487" s="50"/>
      <c r="C487" s="59"/>
      <c r="H487" s="52"/>
      <c r="I487" s="44"/>
      <c r="J487" s="63"/>
    </row>
    <row r="488">
      <c r="B488" s="50"/>
      <c r="C488" s="59"/>
      <c r="H488" s="52"/>
      <c r="I488" s="44"/>
      <c r="J488" s="63"/>
    </row>
    <row r="489">
      <c r="B489" s="50"/>
      <c r="C489" s="59"/>
      <c r="H489" s="52"/>
      <c r="I489" s="44"/>
      <c r="J489" s="63"/>
    </row>
    <row r="490">
      <c r="B490" s="50"/>
      <c r="C490" s="59"/>
      <c r="H490" s="52"/>
      <c r="I490" s="44"/>
      <c r="J490" s="63"/>
    </row>
    <row r="491">
      <c r="B491" s="50"/>
      <c r="C491" s="59"/>
      <c r="H491" s="52"/>
      <c r="I491" s="44"/>
      <c r="J491" s="63"/>
    </row>
    <row r="492">
      <c r="B492" s="50"/>
      <c r="C492" s="59"/>
      <c r="H492" s="52"/>
      <c r="I492" s="44"/>
      <c r="J492" s="63"/>
    </row>
    <row r="493">
      <c r="B493" s="50"/>
      <c r="C493" s="59"/>
      <c r="H493" s="52"/>
      <c r="I493" s="44"/>
      <c r="J493" s="63"/>
    </row>
    <row r="494">
      <c r="B494" s="50"/>
      <c r="C494" s="59"/>
      <c r="H494" s="52"/>
      <c r="I494" s="44"/>
      <c r="J494" s="63"/>
    </row>
    <row r="495">
      <c r="B495" s="50"/>
      <c r="C495" s="59"/>
      <c r="H495" s="52"/>
      <c r="I495" s="44"/>
      <c r="J495" s="63"/>
    </row>
    <row r="496">
      <c r="B496" s="50"/>
      <c r="C496" s="59"/>
      <c r="H496" s="52"/>
      <c r="I496" s="44"/>
      <c r="J496" s="63"/>
    </row>
    <row r="497">
      <c r="B497" s="50"/>
      <c r="C497" s="59"/>
      <c r="H497" s="52"/>
      <c r="I497" s="44"/>
      <c r="J497" s="63"/>
    </row>
    <row r="498">
      <c r="B498" s="50"/>
      <c r="C498" s="59"/>
      <c r="H498" s="52"/>
      <c r="I498" s="44"/>
      <c r="J498" s="63"/>
    </row>
    <row r="499">
      <c r="B499" s="50"/>
      <c r="C499" s="59"/>
      <c r="H499" s="52"/>
      <c r="I499" s="44"/>
      <c r="J499" s="63"/>
    </row>
    <row r="500">
      <c r="B500" s="50"/>
      <c r="C500" s="59"/>
      <c r="H500" s="52"/>
      <c r="I500" s="44"/>
      <c r="J500" s="63"/>
    </row>
    <row r="501">
      <c r="B501" s="50"/>
      <c r="C501" s="59"/>
      <c r="H501" s="52"/>
      <c r="I501" s="44"/>
      <c r="J501" s="63"/>
    </row>
    <row r="502">
      <c r="B502" s="50"/>
      <c r="C502" s="59"/>
      <c r="H502" s="52"/>
      <c r="I502" s="44"/>
      <c r="J502" s="63"/>
    </row>
    <row r="503">
      <c r="B503" s="50"/>
      <c r="C503" s="59"/>
      <c r="H503" s="52"/>
      <c r="I503" s="44"/>
      <c r="J503" s="63"/>
    </row>
    <row r="504">
      <c r="B504" s="50"/>
      <c r="C504" s="59"/>
      <c r="H504" s="52"/>
      <c r="I504" s="44"/>
      <c r="J504" s="63"/>
    </row>
    <row r="505">
      <c r="B505" s="50"/>
      <c r="C505" s="59"/>
      <c r="H505" s="52"/>
      <c r="I505" s="44"/>
      <c r="J505" s="63"/>
    </row>
    <row r="506">
      <c r="B506" s="50"/>
      <c r="C506" s="59"/>
      <c r="H506" s="52"/>
      <c r="I506" s="44"/>
      <c r="J506" s="63"/>
    </row>
    <row r="507">
      <c r="B507" s="50"/>
      <c r="C507" s="59"/>
      <c r="H507" s="52"/>
      <c r="I507" s="44"/>
      <c r="J507" s="63"/>
    </row>
    <row r="508">
      <c r="B508" s="50"/>
      <c r="C508" s="59"/>
      <c r="H508" s="52"/>
      <c r="I508" s="44"/>
      <c r="J508" s="63"/>
    </row>
    <row r="509">
      <c r="B509" s="50"/>
      <c r="C509" s="59"/>
      <c r="H509" s="52"/>
      <c r="I509" s="44"/>
      <c r="J509" s="63"/>
    </row>
    <row r="510">
      <c r="B510" s="50"/>
      <c r="C510" s="59"/>
      <c r="H510" s="52"/>
      <c r="I510" s="44"/>
      <c r="J510" s="63"/>
    </row>
    <row r="511">
      <c r="B511" s="50"/>
      <c r="C511" s="59"/>
      <c r="H511" s="52"/>
      <c r="I511" s="44"/>
      <c r="J511" s="63"/>
    </row>
    <row r="512">
      <c r="B512" s="50"/>
      <c r="C512" s="59"/>
      <c r="H512" s="52"/>
      <c r="I512" s="44"/>
      <c r="J512" s="63"/>
    </row>
    <row r="513">
      <c r="B513" s="50"/>
      <c r="C513" s="59"/>
      <c r="H513" s="52"/>
      <c r="I513" s="44"/>
      <c r="J513" s="63"/>
    </row>
    <row r="514">
      <c r="B514" s="50"/>
      <c r="C514" s="59"/>
      <c r="H514" s="52"/>
      <c r="I514" s="44"/>
      <c r="J514" s="63"/>
    </row>
    <row r="515">
      <c r="B515" s="50"/>
      <c r="C515" s="59"/>
      <c r="H515" s="52"/>
      <c r="I515" s="44"/>
      <c r="J515" s="63"/>
    </row>
    <row r="516">
      <c r="B516" s="50"/>
      <c r="C516" s="59"/>
      <c r="H516" s="52"/>
      <c r="I516" s="44"/>
      <c r="J516" s="63"/>
    </row>
    <row r="517">
      <c r="B517" s="50"/>
      <c r="C517" s="59"/>
      <c r="H517" s="52"/>
      <c r="I517" s="44"/>
      <c r="J517" s="63"/>
    </row>
    <row r="518">
      <c r="B518" s="50"/>
      <c r="C518" s="59"/>
      <c r="H518" s="52"/>
      <c r="I518" s="44"/>
      <c r="J518" s="63"/>
    </row>
    <row r="519">
      <c r="B519" s="50"/>
      <c r="C519" s="59"/>
      <c r="H519" s="52"/>
      <c r="I519" s="44"/>
      <c r="J519" s="63"/>
    </row>
    <row r="520">
      <c r="B520" s="50"/>
      <c r="C520" s="59"/>
      <c r="H520" s="52"/>
      <c r="I520" s="44"/>
      <c r="J520" s="63"/>
    </row>
    <row r="521">
      <c r="B521" s="50"/>
      <c r="C521" s="59"/>
      <c r="H521" s="52"/>
      <c r="I521" s="44"/>
      <c r="J521" s="63"/>
    </row>
    <row r="522">
      <c r="B522" s="50"/>
      <c r="C522" s="59"/>
      <c r="H522" s="52"/>
      <c r="I522" s="44"/>
      <c r="J522" s="63"/>
    </row>
    <row r="523">
      <c r="B523" s="50"/>
      <c r="C523" s="59"/>
      <c r="H523" s="52"/>
      <c r="I523" s="44"/>
      <c r="J523" s="63"/>
    </row>
    <row r="524">
      <c r="B524" s="50"/>
      <c r="C524" s="59"/>
      <c r="H524" s="52"/>
      <c r="I524" s="44"/>
      <c r="J524" s="63"/>
    </row>
    <row r="525">
      <c r="B525" s="50"/>
      <c r="C525" s="59"/>
      <c r="H525" s="52"/>
      <c r="I525" s="44"/>
      <c r="J525" s="63"/>
    </row>
    <row r="526">
      <c r="B526" s="50"/>
      <c r="C526" s="59"/>
      <c r="H526" s="52"/>
      <c r="I526" s="44"/>
      <c r="J526" s="63"/>
    </row>
    <row r="527">
      <c r="B527" s="50"/>
      <c r="C527" s="59"/>
      <c r="H527" s="52"/>
      <c r="I527" s="44"/>
      <c r="J527" s="63"/>
    </row>
    <row r="528">
      <c r="B528" s="50"/>
      <c r="C528" s="59"/>
      <c r="H528" s="52"/>
      <c r="I528" s="44"/>
      <c r="J528" s="63"/>
    </row>
    <row r="529">
      <c r="B529" s="50"/>
      <c r="C529" s="59"/>
      <c r="H529" s="52"/>
      <c r="I529" s="44"/>
      <c r="J529" s="63"/>
    </row>
    <row r="530">
      <c r="B530" s="50"/>
      <c r="C530" s="59"/>
      <c r="H530" s="52"/>
      <c r="I530" s="44"/>
      <c r="J530" s="63"/>
    </row>
    <row r="531">
      <c r="B531" s="50"/>
      <c r="C531" s="59"/>
      <c r="H531" s="52"/>
      <c r="I531" s="44"/>
      <c r="J531" s="63"/>
    </row>
    <row r="532">
      <c r="B532" s="50"/>
      <c r="C532" s="59"/>
      <c r="H532" s="52"/>
      <c r="I532" s="44"/>
      <c r="J532" s="63"/>
    </row>
    <row r="533">
      <c r="B533" s="50"/>
      <c r="C533" s="59"/>
      <c r="H533" s="52"/>
      <c r="I533" s="44"/>
      <c r="J533" s="63"/>
    </row>
    <row r="534">
      <c r="B534" s="50"/>
      <c r="C534" s="59"/>
      <c r="H534" s="52"/>
      <c r="I534" s="44"/>
      <c r="J534" s="63"/>
    </row>
    <row r="535">
      <c r="B535" s="50"/>
      <c r="C535" s="59"/>
      <c r="H535" s="52"/>
      <c r="I535" s="44"/>
      <c r="J535" s="63"/>
    </row>
    <row r="536">
      <c r="B536" s="50"/>
      <c r="C536" s="59"/>
      <c r="H536" s="52"/>
      <c r="I536" s="44"/>
      <c r="J536" s="63"/>
    </row>
    <row r="537">
      <c r="B537" s="50"/>
      <c r="C537" s="59"/>
      <c r="H537" s="52"/>
      <c r="I537" s="44"/>
      <c r="J537" s="63"/>
    </row>
    <row r="538">
      <c r="B538" s="50"/>
      <c r="C538" s="59"/>
      <c r="H538" s="52"/>
      <c r="I538" s="44"/>
      <c r="J538" s="63"/>
    </row>
    <row r="539">
      <c r="B539" s="50"/>
      <c r="C539" s="59"/>
      <c r="H539" s="52"/>
      <c r="I539" s="44"/>
      <c r="J539" s="63"/>
    </row>
    <row r="540">
      <c r="B540" s="50"/>
      <c r="C540" s="59"/>
      <c r="H540" s="52"/>
      <c r="I540" s="44"/>
      <c r="J540" s="63"/>
    </row>
    <row r="541">
      <c r="B541" s="50"/>
      <c r="C541" s="59"/>
      <c r="H541" s="52"/>
      <c r="I541" s="44"/>
      <c r="J541" s="63"/>
    </row>
    <row r="542">
      <c r="B542" s="50"/>
      <c r="C542" s="59"/>
      <c r="H542" s="52"/>
      <c r="I542" s="44"/>
      <c r="J542" s="63"/>
    </row>
    <row r="543">
      <c r="B543" s="50"/>
      <c r="C543" s="59"/>
      <c r="H543" s="52"/>
      <c r="I543" s="44"/>
      <c r="J543" s="63"/>
    </row>
    <row r="544">
      <c r="B544" s="50"/>
      <c r="C544" s="59"/>
      <c r="H544" s="52"/>
      <c r="I544" s="44"/>
      <c r="J544" s="63"/>
    </row>
    <row r="545">
      <c r="B545" s="50"/>
      <c r="C545" s="59"/>
      <c r="H545" s="52"/>
      <c r="I545" s="44"/>
      <c r="J545" s="63"/>
    </row>
    <row r="546">
      <c r="B546" s="50"/>
      <c r="C546" s="59"/>
      <c r="H546" s="52"/>
      <c r="I546" s="44"/>
      <c r="J546" s="63"/>
    </row>
    <row r="547">
      <c r="B547" s="50"/>
      <c r="C547" s="59"/>
      <c r="H547" s="52"/>
      <c r="I547" s="44"/>
      <c r="J547" s="63"/>
    </row>
    <row r="548">
      <c r="B548" s="50"/>
      <c r="C548" s="59"/>
      <c r="H548" s="52"/>
      <c r="I548" s="44"/>
      <c r="J548" s="63"/>
    </row>
    <row r="549">
      <c r="B549" s="50"/>
      <c r="C549" s="59"/>
      <c r="H549" s="52"/>
      <c r="I549" s="44"/>
      <c r="J549" s="63"/>
    </row>
    <row r="550">
      <c r="B550" s="50"/>
      <c r="C550" s="59"/>
      <c r="H550" s="52"/>
      <c r="I550" s="44"/>
      <c r="J550" s="63"/>
    </row>
    <row r="551">
      <c r="B551" s="50"/>
      <c r="C551" s="59"/>
      <c r="H551" s="52"/>
      <c r="I551" s="44"/>
      <c r="J551" s="63"/>
    </row>
    <row r="552">
      <c r="B552" s="50"/>
      <c r="C552" s="59"/>
      <c r="H552" s="52"/>
      <c r="I552" s="44"/>
      <c r="J552" s="63"/>
    </row>
    <row r="553">
      <c r="B553" s="50"/>
      <c r="C553" s="59"/>
      <c r="H553" s="52"/>
      <c r="I553" s="44"/>
      <c r="J553" s="63"/>
    </row>
    <row r="554">
      <c r="B554" s="50"/>
      <c r="C554" s="59"/>
      <c r="H554" s="52"/>
      <c r="I554" s="44"/>
      <c r="J554" s="63"/>
    </row>
    <row r="555">
      <c r="B555" s="50"/>
      <c r="C555" s="59"/>
      <c r="H555" s="52"/>
      <c r="I555" s="44"/>
      <c r="J555" s="63"/>
    </row>
    <row r="556">
      <c r="B556" s="50"/>
      <c r="C556" s="59"/>
      <c r="H556" s="52"/>
      <c r="I556" s="44"/>
      <c r="J556" s="63"/>
    </row>
    <row r="557">
      <c r="B557" s="50"/>
      <c r="C557" s="59"/>
      <c r="H557" s="52"/>
      <c r="I557" s="44"/>
      <c r="J557" s="63"/>
    </row>
    <row r="558">
      <c r="B558" s="50"/>
      <c r="C558" s="59"/>
      <c r="H558" s="52"/>
      <c r="I558" s="44"/>
      <c r="J558" s="63"/>
    </row>
    <row r="559">
      <c r="B559" s="50"/>
      <c r="C559" s="59"/>
      <c r="H559" s="52"/>
      <c r="I559" s="44"/>
      <c r="J559" s="63"/>
    </row>
    <row r="560">
      <c r="B560" s="50"/>
      <c r="C560" s="59"/>
      <c r="H560" s="52"/>
      <c r="I560" s="44"/>
      <c r="J560" s="63"/>
    </row>
    <row r="561">
      <c r="B561" s="50"/>
      <c r="C561" s="59"/>
      <c r="H561" s="52"/>
      <c r="I561" s="44"/>
      <c r="J561" s="63"/>
    </row>
    <row r="562">
      <c r="B562" s="50"/>
      <c r="C562" s="59"/>
      <c r="H562" s="52"/>
      <c r="I562" s="44"/>
      <c r="J562" s="63"/>
    </row>
    <row r="563">
      <c r="B563" s="50"/>
      <c r="C563" s="59"/>
      <c r="H563" s="52"/>
      <c r="I563" s="44"/>
      <c r="J563" s="63"/>
    </row>
    <row r="564">
      <c r="B564" s="50"/>
      <c r="C564" s="59"/>
      <c r="H564" s="52"/>
      <c r="I564" s="44"/>
      <c r="J564" s="63"/>
    </row>
    <row r="565">
      <c r="B565" s="50"/>
      <c r="C565" s="59"/>
      <c r="H565" s="52"/>
      <c r="I565" s="44"/>
      <c r="J565" s="63"/>
    </row>
    <row r="566">
      <c r="B566" s="50"/>
      <c r="C566" s="59"/>
      <c r="H566" s="52"/>
      <c r="I566" s="44"/>
      <c r="J566" s="63"/>
    </row>
    <row r="567">
      <c r="B567" s="50"/>
      <c r="C567" s="59"/>
      <c r="H567" s="52"/>
      <c r="I567" s="44"/>
      <c r="J567" s="63"/>
    </row>
    <row r="568">
      <c r="B568" s="50"/>
      <c r="C568" s="59"/>
      <c r="H568" s="52"/>
      <c r="I568" s="44"/>
      <c r="J568" s="63"/>
    </row>
    <row r="569">
      <c r="B569" s="50"/>
      <c r="C569" s="59"/>
      <c r="H569" s="52"/>
      <c r="I569" s="44"/>
      <c r="J569" s="63"/>
    </row>
    <row r="570">
      <c r="B570" s="50"/>
      <c r="C570" s="59"/>
      <c r="H570" s="52"/>
      <c r="I570" s="44"/>
      <c r="J570" s="63"/>
    </row>
    <row r="571">
      <c r="B571" s="50"/>
      <c r="C571" s="59"/>
      <c r="H571" s="52"/>
      <c r="I571" s="44"/>
      <c r="J571" s="63"/>
    </row>
    <row r="572">
      <c r="B572" s="50"/>
      <c r="C572" s="59"/>
      <c r="H572" s="52"/>
      <c r="I572" s="44"/>
      <c r="J572" s="63"/>
    </row>
    <row r="573">
      <c r="B573" s="50"/>
      <c r="C573" s="59"/>
      <c r="H573" s="52"/>
      <c r="I573" s="44"/>
      <c r="J573" s="63"/>
    </row>
    <row r="574">
      <c r="B574" s="50"/>
      <c r="C574" s="59"/>
      <c r="H574" s="52"/>
      <c r="I574" s="44"/>
      <c r="J574" s="63"/>
    </row>
    <row r="575">
      <c r="B575" s="50"/>
      <c r="C575" s="59"/>
      <c r="H575" s="52"/>
      <c r="I575" s="44"/>
      <c r="J575" s="63"/>
    </row>
    <row r="576">
      <c r="B576" s="50"/>
      <c r="C576" s="59"/>
      <c r="H576" s="52"/>
      <c r="I576" s="44"/>
      <c r="J576" s="63"/>
    </row>
    <row r="577">
      <c r="B577" s="50"/>
      <c r="C577" s="59"/>
      <c r="H577" s="52"/>
      <c r="I577" s="44"/>
      <c r="J577" s="63"/>
    </row>
    <row r="578">
      <c r="B578" s="50"/>
      <c r="C578" s="59"/>
      <c r="H578" s="52"/>
      <c r="I578" s="44"/>
      <c r="J578" s="63"/>
    </row>
    <row r="579">
      <c r="B579" s="50"/>
      <c r="C579" s="59"/>
      <c r="H579" s="52"/>
      <c r="I579" s="44"/>
      <c r="J579" s="63"/>
    </row>
    <row r="580">
      <c r="B580" s="50"/>
      <c r="C580" s="59"/>
      <c r="H580" s="52"/>
      <c r="I580" s="44"/>
      <c r="J580" s="63"/>
    </row>
    <row r="581">
      <c r="B581" s="50"/>
      <c r="C581" s="59"/>
      <c r="H581" s="52"/>
      <c r="I581" s="44"/>
      <c r="J581" s="63"/>
    </row>
    <row r="582">
      <c r="B582" s="50"/>
      <c r="C582" s="59"/>
      <c r="H582" s="52"/>
      <c r="I582" s="44"/>
      <c r="J582" s="63"/>
    </row>
    <row r="583">
      <c r="B583" s="50"/>
      <c r="C583" s="59"/>
      <c r="H583" s="52"/>
      <c r="I583" s="44"/>
      <c r="J583" s="63"/>
    </row>
    <row r="584">
      <c r="B584" s="50"/>
      <c r="C584" s="59"/>
      <c r="H584" s="52"/>
      <c r="I584" s="44"/>
      <c r="J584" s="63"/>
    </row>
    <row r="585">
      <c r="B585" s="50"/>
      <c r="C585" s="59"/>
      <c r="H585" s="52"/>
      <c r="I585" s="44"/>
      <c r="J585" s="63"/>
    </row>
    <row r="586">
      <c r="B586" s="50"/>
      <c r="C586" s="59"/>
      <c r="H586" s="52"/>
      <c r="I586" s="44"/>
      <c r="J586" s="63"/>
    </row>
    <row r="587">
      <c r="B587" s="50"/>
      <c r="C587" s="59"/>
      <c r="H587" s="52"/>
      <c r="I587" s="44"/>
      <c r="J587" s="63"/>
    </row>
    <row r="588">
      <c r="B588" s="50"/>
      <c r="C588" s="59"/>
      <c r="H588" s="52"/>
      <c r="I588" s="44"/>
      <c r="J588" s="63"/>
    </row>
    <row r="589">
      <c r="B589" s="50"/>
      <c r="C589" s="59"/>
      <c r="H589" s="52"/>
      <c r="I589" s="44"/>
      <c r="J589" s="63"/>
    </row>
    <row r="590">
      <c r="B590" s="50"/>
      <c r="C590" s="59"/>
      <c r="H590" s="52"/>
      <c r="I590" s="44"/>
      <c r="J590" s="63"/>
    </row>
    <row r="591">
      <c r="B591" s="50"/>
      <c r="C591" s="59"/>
      <c r="H591" s="52"/>
      <c r="I591" s="44"/>
      <c r="J591" s="63"/>
    </row>
    <row r="592">
      <c r="B592" s="50"/>
      <c r="C592" s="59"/>
      <c r="H592" s="52"/>
      <c r="I592" s="44"/>
      <c r="J592" s="63"/>
    </row>
    <row r="593">
      <c r="B593" s="50"/>
      <c r="C593" s="59"/>
      <c r="H593" s="52"/>
      <c r="I593" s="44"/>
      <c r="J593" s="63"/>
    </row>
    <row r="594">
      <c r="B594" s="50"/>
      <c r="C594" s="59"/>
      <c r="H594" s="52"/>
      <c r="I594" s="44"/>
      <c r="J594" s="63"/>
    </row>
    <row r="595">
      <c r="B595" s="50"/>
      <c r="C595" s="59"/>
      <c r="H595" s="52"/>
      <c r="I595" s="44"/>
      <c r="J595" s="63"/>
    </row>
    <row r="596">
      <c r="B596" s="50"/>
      <c r="C596" s="59"/>
      <c r="H596" s="52"/>
      <c r="I596" s="44"/>
      <c r="J596" s="63"/>
    </row>
    <row r="597">
      <c r="B597" s="50"/>
      <c r="C597" s="59"/>
      <c r="H597" s="52"/>
      <c r="I597" s="44"/>
      <c r="J597" s="63"/>
    </row>
    <row r="598">
      <c r="B598" s="50"/>
      <c r="C598" s="59"/>
      <c r="H598" s="52"/>
      <c r="I598" s="44"/>
      <c r="J598" s="63"/>
    </row>
    <row r="599">
      <c r="B599" s="50"/>
      <c r="C599" s="59"/>
      <c r="H599" s="52"/>
      <c r="I599" s="44"/>
      <c r="J599" s="63"/>
    </row>
    <row r="600">
      <c r="B600" s="50"/>
      <c r="C600" s="59"/>
      <c r="H600" s="52"/>
      <c r="I600" s="44"/>
      <c r="J600" s="63"/>
    </row>
    <row r="601">
      <c r="B601" s="50"/>
      <c r="C601" s="59"/>
      <c r="H601" s="52"/>
      <c r="I601" s="44"/>
      <c r="J601" s="63"/>
    </row>
    <row r="602">
      <c r="B602" s="50"/>
      <c r="C602" s="59"/>
      <c r="H602" s="52"/>
      <c r="I602" s="44"/>
      <c r="J602" s="63"/>
    </row>
    <row r="603">
      <c r="B603" s="50"/>
      <c r="C603" s="59"/>
      <c r="H603" s="52"/>
      <c r="I603" s="44"/>
      <c r="J603" s="63"/>
    </row>
    <row r="604">
      <c r="B604" s="50"/>
      <c r="C604" s="59"/>
      <c r="H604" s="52"/>
      <c r="I604" s="44"/>
      <c r="J604" s="63"/>
    </row>
    <row r="605">
      <c r="B605" s="50"/>
      <c r="C605" s="59"/>
      <c r="H605" s="52"/>
      <c r="I605" s="44"/>
      <c r="J605" s="63"/>
    </row>
    <row r="606">
      <c r="B606" s="50"/>
      <c r="C606" s="59"/>
      <c r="H606" s="52"/>
      <c r="I606" s="44"/>
      <c r="J606" s="63"/>
    </row>
    <row r="607">
      <c r="B607" s="50"/>
      <c r="C607" s="59"/>
      <c r="H607" s="52"/>
      <c r="I607" s="44"/>
      <c r="J607" s="63"/>
    </row>
    <row r="608">
      <c r="B608" s="50"/>
      <c r="C608" s="59"/>
      <c r="H608" s="52"/>
      <c r="I608" s="44"/>
      <c r="J608" s="63"/>
    </row>
    <row r="609">
      <c r="B609" s="50"/>
      <c r="C609" s="59"/>
      <c r="H609" s="52"/>
      <c r="I609" s="44"/>
      <c r="J609" s="63"/>
    </row>
    <row r="610">
      <c r="B610" s="50"/>
      <c r="C610" s="59"/>
      <c r="H610" s="52"/>
      <c r="I610" s="44"/>
      <c r="J610" s="63"/>
    </row>
    <row r="611">
      <c r="B611" s="50"/>
      <c r="C611" s="59"/>
      <c r="H611" s="52"/>
      <c r="I611" s="44"/>
      <c r="J611" s="63"/>
    </row>
    <row r="612">
      <c r="B612" s="50"/>
      <c r="C612" s="59"/>
      <c r="H612" s="52"/>
      <c r="I612" s="44"/>
      <c r="J612" s="63"/>
    </row>
    <row r="613">
      <c r="B613" s="50"/>
      <c r="C613" s="59"/>
      <c r="H613" s="52"/>
      <c r="I613" s="44"/>
      <c r="J613" s="63"/>
    </row>
    <row r="614">
      <c r="B614" s="50"/>
      <c r="C614" s="59"/>
      <c r="H614" s="52"/>
      <c r="I614" s="44"/>
      <c r="J614" s="63"/>
    </row>
    <row r="615">
      <c r="B615" s="50"/>
      <c r="C615" s="59"/>
      <c r="H615" s="52"/>
      <c r="I615" s="44"/>
      <c r="J615" s="63"/>
    </row>
    <row r="616">
      <c r="B616" s="50"/>
      <c r="C616" s="59"/>
      <c r="H616" s="52"/>
      <c r="I616" s="44"/>
      <c r="J616" s="63"/>
    </row>
    <row r="617">
      <c r="B617" s="50"/>
      <c r="C617" s="59"/>
      <c r="H617" s="52"/>
      <c r="I617" s="44"/>
      <c r="J617" s="63"/>
    </row>
    <row r="618">
      <c r="B618" s="50"/>
      <c r="C618" s="59"/>
      <c r="H618" s="52"/>
      <c r="I618" s="44"/>
      <c r="J618" s="63"/>
    </row>
    <row r="619">
      <c r="B619" s="50"/>
      <c r="C619" s="59"/>
      <c r="H619" s="52"/>
      <c r="I619" s="44"/>
      <c r="J619" s="63"/>
    </row>
    <row r="620">
      <c r="B620" s="50"/>
      <c r="C620" s="59"/>
      <c r="H620" s="52"/>
      <c r="I620" s="44"/>
      <c r="J620" s="63"/>
    </row>
    <row r="621">
      <c r="B621" s="50"/>
      <c r="C621" s="59"/>
      <c r="H621" s="52"/>
      <c r="I621" s="44"/>
      <c r="J621" s="63"/>
    </row>
    <row r="622">
      <c r="B622" s="50"/>
      <c r="C622" s="59"/>
      <c r="H622" s="52"/>
      <c r="I622" s="44"/>
      <c r="J622" s="63"/>
    </row>
    <row r="623">
      <c r="B623" s="50"/>
      <c r="C623" s="59"/>
      <c r="H623" s="52"/>
      <c r="I623" s="44"/>
      <c r="J623" s="63"/>
    </row>
    <row r="624">
      <c r="B624" s="50"/>
      <c r="C624" s="59"/>
      <c r="H624" s="52"/>
      <c r="I624" s="44"/>
      <c r="J624" s="63"/>
    </row>
    <row r="625">
      <c r="B625" s="50"/>
      <c r="C625" s="59"/>
      <c r="H625" s="52"/>
      <c r="I625" s="44"/>
      <c r="J625" s="63"/>
    </row>
    <row r="626">
      <c r="B626" s="50"/>
      <c r="C626" s="59"/>
      <c r="H626" s="52"/>
      <c r="I626" s="44"/>
      <c r="J626" s="63"/>
    </row>
    <row r="627">
      <c r="B627" s="50"/>
      <c r="C627" s="59"/>
      <c r="H627" s="52"/>
      <c r="I627" s="44"/>
      <c r="J627" s="63"/>
    </row>
    <row r="628">
      <c r="B628" s="50"/>
      <c r="C628" s="59"/>
      <c r="H628" s="52"/>
      <c r="I628" s="44"/>
      <c r="J628" s="63"/>
    </row>
    <row r="629">
      <c r="B629" s="50"/>
      <c r="C629" s="59"/>
      <c r="H629" s="52"/>
      <c r="I629" s="44"/>
      <c r="J629" s="63"/>
    </row>
    <row r="630">
      <c r="B630" s="50"/>
      <c r="C630" s="59"/>
      <c r="H630" s="52"/>
      <c r="I630" s="44"/>
      <c r="J630" s="63"/>
    </row>
    <row r="631">
      <c r="B631" s="50"/>
      <c r="C631" s="59"/>
      <c r="H631" s="52"/>
      <c r="I631" s="44"/>
      <c r="J631" s="63"/>
    </row>
    <row r="632">
      <c r="B632" s="50"/>
      <c r="C632" s="59"/>
      <c r="H632" s="52"/>
      <c r="I632" s="44"/>
      <c r="J632" s="63"/>
    </row>
    <row r="633">
      <c r="B633" s="50"/>
      <c r="C633" s="59"/>
      <c r="H633" s="52"/>
      <c r="I633" s="44"/>
      <c r="J633" s="63"/>
    </row>
    <row r="634">
      <c r="B634" s="50"/>
      <c r="C634" s="59"/>
      <c r="H634" s="52"/>
      <c r="I634" s="44"/>
      <c r="J634" s="63"/>
    </row>
    <row r="635">
      <c r="B635" s="50"/>
      <c r="C635" s="59"/>
      <c r="H635" s="52"/>
      <c r="I635" s="44"/>
      <c r="J635" s="63"/>
    </row>
    <row r="636">
      <c r="B636" s="50"/>
      <c r="C636" s="59"/>
      <c r="H636" s="52"/>
      <c r="I636" s="44"/>
      <c r="J636" s="63"/>
    </row>
    <row r="637">
      <c r="B637" s="50"/>
      <c r="C637" s="59"/>
      <c r="H637" s="52"/>
      <c r="I637" s="44"/>
      <c r="J637" s="63"/>
    </row>
    <row r="638">
      <c r="B638" s="50"/>
      <c r="C638" s="59"/>
      <c r="H638" s="52"/>
      <c r="I638" s="44"/>
      <c r="J638" s="63"/>
    </row>
    <row r="639">
      <c r="B639" s="50"/>
      <c r="C639" s="59"/>
      <c r="H639" s="52"/>
      <c r="I639" s="44"/>
      <c r="J639" s="63"/>
    </row>
    <row r="640">
      <c r="B640" s="50"/>
      <c r="C640" s="59"/>
      <c r="H640" s="52"/>
      <c r="I640" s="44"/>
      <c r="J640" s="63"/>
    </row>
    <row r="641">
      <c r="B641" s="50"/>
      <c r="C641" s="59"/>
      <c r="H641" s="52"/>
      <c r="I641" s="44"/>
      <c r="J641" s="63"/>
    </row>
    <row r="642">
      <c r="B642" s="50"/>
      <c r="C642" s="59"/>
      <c r="H642" s="52"/>
      <c r="I642" s="44"/>
      <c r="J642" s="63"/>
    </row>
    <row r="643">
      <c r="B643" s="50"/>
      <c r="C643" s="59"/>
      <c r="H643" s="52"/>
      <c r="I643" s="44"/>
      <c r="J643" s="63"/>
    </row>
    <row r="644">
      <c r="B644" s="50"/>
      <c r="C644" s="59"/>
      <c r="H644" s="52"/>
      <c r="I644" s="44"/>
      <c r="J644" s="63"/>
    </row>
    <row r="645">
      <c r="B645" s="50"/>
      <c r="C645" s="59"/>
      <c r="H645" s="52"/>
      <c r="I645" s="44"/>
      <c r="J645" s="63"/>
    </row>
    <row r="646">
      <c r="B646" s="50"/>
      <c r="C646" s="59"/>
      <c r="H646" s="52"/>
      <c r="I646" s="44"/>
      <c r="J646" s="63"/>
    </row>
    <row r="647">
      <c r="B647" s="50"/>
      <c r="C647" s="59"/>
      <c r="H647" s="52"/>
      <c r="I647" s="44"/>
      <c r="J647" s="63"/>
    </row>
    <row r="648">
      <c r="B648" s="50"/>
      <c r="C648" s="59"/>
      <c r="H648" s="52"/>
      <c r="I648" s="44"/>
      <c r="J648" s="63"/>
    </row>
    <row r="649">
      <c r="B649" s="50"/>
      <c r="C649" s="59"/>
      <c r="H649" s="52"/>
      <c r="I649" s="44"/>
      <c r="J649" s="63"/>
    </row>
    <row r="650">
      <c r="B650" s="50"/>
      <c r="C650" s="59"/>
      <c r="H650" s="52"/>
      <c r="I650" s="44"/>
      <c r="J650" s="63"/>
    </row>
    <row r="651">
      <c r="B651" s="50"/>
      <c r="C651" s="59"/>
      <c r="H651" s="52"/>
      <c r="I651" s="44"/>
      <c r="J651" s="63"/>
    </row>
    <row r="652">
      <c r="B652" s="50"/>
      <c r="C652" s="59"/>
      <c r="H652" s="52"/>
      <c r="I652" s="44"/>
      <c r="J652" s="63"/>
    </row>
    <row r="653">
      <c r="B653" s="50"/>
      <c r="C653" s="59"/>
      <c r="H653" s="52"/>
      <c r="I653" s="44"/>
      <c r="J653" s="63"/>
    </row>
    <row r="654">
      <c r="B654" s="50"/>
      <c r="C654" s="59"/>
      <c r="H654" s="52"/>
      <c r="I654" s="44"/>
      <c r="J654" s="63"/>
    </row>
    <row r="655">
      <c r="B655" s="50"/>
      <c r="C655" s="59"/>
      <c r="H655" s="52"/>
      <c r="I655" s="44"/>
      <c r="J655" s="63"/>
    </row>
    <row r="656">
      <c r="B656" s="50"/>
      <c r="C656" s="59"/>
      <c r="H656" s="52"/>
      <c r="I656" s="44"/>
      <c r="J656" s="63"/>
    </row>
    <row r="657">
      <c r="B657" s="50"/>
      <c r="C657" s="59"/>
      <c r="H657" s="52"/>
      <c r="I657" s="44"/>
      <c r="J657" s="63"/>
    </row>
    <row r="658">
      <c r="B658" s="50"/>
      <c r="C658" s="59"/>
      <c r="H658" s="52"/>
      <c r="I658" s="44"/>
      <c r="J658" s="63"/>
    </row>
    <row r="659">
      <c r="B659" s="50"/>
      <c r="C659" s="59"/>
      <c r="H659" s="52"/>
      <c r="I659" s="44"/>
      <c r="J659" s="63"/>
    </row>
    <row r="660">
      <c r="B660" s="50"/>
      <c r="C660" s="59"/>
      <c r="H660" s="52"/>
      <c r="I660" s="44"/>
      <c r="J660" s="63"/>
    </row>
    <row r="661">
      <c r="B661" s="50"/>
      <c r="C661" s="59"/>
      <c r="H661" s="52"/>
      <c r="I661" s="44"/>
      <c r="J661" s="63"/>
    </row>
    <row r="662">
      <c r="B662" s="50"/>
      <c r="C662" s="59"/>
      <c r="H662" s="52"/>
      <c r="I662" s="44"/>
      <c r="J662" s="63"/>
    </row>
    <row r="663">
      <c r="B663" s="50"/>
      <c r="C663" s="59"/>
      <c r="H663" s="52"/>
      <c r="I663" s="44"/>
      <c r="J663" s="63"/>
    </row>
    <row r="664">
      <c r="B664" s="50"/>
      <c r="C664" s="59"/>
      <c r="H664" s="52"/>
      <c r="I664" s="44"/>
      <c r="J664" s="63"/>
    </row>
    <row r="665">
      <c r="B665" s="50"/>
      <c r="C665" s="59"/>
      <c r="H665" s="52"/>
      <c r="I665" s="44"/>
      <c r="J665" s="63"/>
    </row>
    <row r="666">
      <c r="B666" s="50"/>
      <c r="C666" s="59"/>
      <c r="H666" s="52"/>
      <c r="I666" s="44"/>
      <c r="J666" s="63"/>
    </row>
    <row r="667">
      <c r="B667" s="50"/>
      <c r="C667" s="59"/>
      <c r="H667" s="52"/>
      <c r="I667" s="44"/>
      <c r="J667" s="63"/>
    </row>
    <row r="668">
      <c r="B668" s="50"/>
      <c r="C668" s="59"/>
      <c r="H668" s="52"/>
      <c r="I668" s="44"/>
      <c r="J668" s="63"/>
    </row>
    <row r="669">
      <c r="B669" s="50"/>
      <c r="C669" s="59"/>
      <c r="H669" s="52"/>
      <c r="I669" s="44"/>
      <c r="J669" s="63"/>
    </row>
    <row r="670">
      <c r="B670" s="50"/>
      <c r="C670" s="59"/>
      <c r="H670" s="52"/>
      <c r="I670" s="44"/>
      <c r="J670" s="63"/>
    </row>
    <row r="671">
      <c r="B671" s="50"/>
      <c r="C671" s="59"/>
      <c r="H671" s="52"/>
      <c r="I671" s="44"/>
      <c r="J671" s="63"/>
    </row>
    <row r="672">
      <c r="B672" s="50"/>
      <c r="C672" s="59"/>
      <c r="H672" s="52"/>
      <c r="I672" s="44"/>
      <c r="J672" s="63"/>
    </row>
    <row r="673">
      <c r="B673" s="50"/>
      <c r="C673" s="59"/>
      <c r="H673" s="52"/>
      <c r="I673" s="44"/>
      <c r="J673" s="63"/>
    </row>
    <row r="674">
      <c r="B674" s="50"/>
      <c r="C674" s="59"/>
      <c r="H674" s="52"/>
      <c r="I674" s="44"/>
      <c r="J674" s="63"/>
    </row>
    <row r="675">
      <c r="B675" s="50"/>
      <c r="C675" s="59"/>
      <c r="H675" s="52"/>
      <c r="I675" s="44"/>
      <c r="J675" s="63"/>
    </row>
    <row r="676">
      <c r="B676" s="50"/>
      <c r="C676" s="59"/>
      <c r="H676" s="52"/>
      <c r="I676" s="44"/>
      <c r="J676" s="63"/>
    </row>
    <row r="677">
      <c r="B677" s="50"/>
      <c r="C677" s="59"/>
      <c r="H677" s="52"/>
      <c r="I677" s="44"/>
      <c r="J677" s="63"/>
    </row>
    <row r="678">
      <c r="B678" s="50"/>
      <c r="C678" s="59"/>
      <c r="H678" s="52"/>
      <c r="I678" s="44"/>
      <c r="J678" s="63"/>
    </row>
    <row r="679">
      <c r="B679" s="50"/>
      <c r="C679" s="59"/>
      <c r="H679" s="52"/>
      <c r="I679" s="44"/>
      <c r="J679" s="63"/>
    </row>
    <row r="680">
      <c r="B680" s="50"/>
      <c r="C680" s="59"/>
      <c r="H680" s="52"/>
      <c r="I680" s="44"/>
      <c r="J680" s="63"/>
    </row>
    <row r="681">
      <c r="B681" s="50"/>
      <c r="C681" s="59"/>
      <c r="H681" s="52"/>
      <c r="I681" s="44"/>
      <c r="J681" s="63"/>
    </row>
    <row r="682">
      <c r="B682" s="50"/>
      <c r="C682" s="59"/>
      <c r="H682" s="52"/>
      <c r="I682" s="44"/>
      <c r="J682" s="63"/>
    </row>
    <row r="683">
      <c r="B683" s="50"/>
      <c r="C683" s="59"/>
      <c r="H683" s="52"/>
      <c r="I683" s="44"/>
      <c r="J683" s="63"/>
    </row>
    <row r="684">
      <c r="B684" s="50"/>
      <c r="C684" s="59"/>
      <c r="H684" s="52"/>
      <c r="I684" s="44"/>
      <c r="J684" s="63"/>
    </row>
    <row r="685">
      <c r="B685" s="50"/>
      <c r="C685" s="59"/>
      <c r="H685" s="52"/>
      <c r="I685" s="44"/>
      <c r="J685" s="63"/>
    </row>
    <row r="686">
      <c r="B686" s="50"/>
      <c r="C686" s="59"/>
      <c r="H686" s="52"/>
      <c r="I686" s="44"/>
      <c r="J686" s="63"/>
    </row>
    <row r="687">
      <c r="B687" s="50"/>
      <c r="C687" s="59"/>
      <c r="H687" s="52"/>
      <c r="I687" s="44"/>
      <c r="J687" s="63"/>
    </row>
    <row r="688">
      <c r="B688" s="50"/>
      <c r="C688" s="59"/>
      <c r="H688" s="52"/>
      <c r="I688" s="44"/>
      <c r="J688" s="63"/>
    </row>
    <row r="689">
      <c r="B689" s="50"/>
      <c r="C689" s="59"/>
      <c r="H689" s="52"/>
      <c r="I689" s="44"/>
      <c r="J689" s="63"/>
    </row>
    <row r="690">
      <c r="B690" s="50"/>
      <c r="C690" s="59"/>
      <c r="H690" s="52"/>
      <c r="I690" s="44"/>
      <c r="J690" s="63"/>
    </row>
    <row r="691">
      <c r="B691" s="50"/>
      <c r="C691" s="59"/>
      <c r="H691" s="52"/>
      <c r="I691" s="44"/>
      <c r="J691" s="63"/>
    </row>
    <row r="692">
      <c r="B692" s="50"/>
      <c r="C692" s="59"/>
      <c r="H692" s="52"/>
      <c r="I692" s="44"/>
      <c r="J692" s="63"/>
    </row>
    <row r="693">
      <c r="B693" s="50"/>
      <c r="C693" s="59"/>
      <c r="H693" s="52"/>
      <c r="I693" s="44"/>
      <c r="J693" s="63"/>
    </row>
    <row r="694">
      <c r="B694" s="50"/>
      <c r="C694" s="59"/>
      <c r="H694" s="52"/>
      <c r="I694" s="44"/>
      <c r="J694" s="63"/>
    </row>
    <row r="695">
      <c r="B695" s="50"/>
      <c r="C695" s="59"/>
      <c r="H695" s="52"/>
      <c r="I695" s="44"/>
      <c r="J695" s="63"/>
    </row>
    <row r="696">
      <c r="B696" s="50"/>
      <c r="C696" s="59"/>
      <c r="H696" s="52"/>
      <c r="I696" s="44"/>
      <c r="J696" s="63"/>
    </row>
    <row r="697">
      <c r="B697" s="50"/>
      <c r="C697" s="59"/>
      <c r="H697" s="52"/>
      <c r="I697" s="44"/>
      <c r="J697" s="63"/>
    </row>
    <row r="698">
      <c r="B698" s="50"/>
      <c r="C698" s="59"/>
      <c r="H698" s="52"/>
      <c r="I698" s="44"/>
      <c r="J698" s="63"/>
    </row>
    <row r="699">
      <c r="B699" s="50"/>
      <c r="C699" s="59"/>
      <c r="H699" s="52"/>
      <c r="I699" s="44"/>
      <c r="J699" s="63"/>
    </row>
    <row r="700">
      <c r="B700" s="50"/>
      <c r="C700" s="59"/>
      <c r="H700" s="52"/>
      <c r="I700" s="44"/>
      <c r="J700" s="63"/>
    </row>
    <row r="701">
      <c r="B701" s="50"/>
      <c r="C701" s="59"/>
      <c r="H701" s="52"/>
      <c r="I701" s="44"/>
      <c r="J701" s="63"/>
    </row>
    <row r="702">
      <c r="B702" s="50"/>
      <c r="C702" s="59"/>
      <c r="H702" s="52"/>
      <c r="I702" s="44"/>
      <c r="J702" s="63"/>
    </row>
    <row r="703">
      <c r="B703" s="50"/>
      <c r="C703" s="59"/>
      <c r="H703" s="52"/>
      <c r="I703" s="44"/>
      <c r="J703" s="63"/>
    </row>
    <row r="704">
      <c r="B704" s="50"/>
      <c r="C704" s="59"/>
      <c r="H704" s="52"/>
      <c r="I704" s="44"/>
      <c r="J704" s="63"/>
    </row>
    <row r="705">
      <c r="B705" s="50"/>
      <c r="C705" s="59"/>
      <c r="H705" s="52"/>
      <c r="I705" s="44"/>
      <c r="J705" s="63"/>
    </row>
    <row r="706">
      <c r="B706" s="50"/>
      <c r="C706" s="59"/>
      <c r="H706" s="52"/>
      <c r="I706" s="44"/>
      <c r="J706" s="63"/>
    </row>
    <row r="707">
      <c r="B707" s="50"/>
      <c r="C707" s="59"/>
      <c r="H707" s="52"/>
      <c r="I707" s="44"/>
      <c r="J707" s="63"/>
    </row>
    <row r="708">
      <c r="B708" s="50"/>
      <c r="C708" s="59"/>
      <c r="H708" s="52"/>
      <c r="I708" s="44"/>
      <c r="J708" s="63"/>
    </row>
    <row r="709">
      <c r="B709" s="50"/>
      <c r="C709" s="59"/>
      <c r="H709" s="52"/>
      <c r="I709" s="44"/>
      <c r="J709" s="63"/>
    </row>
    <row r="710">
      <c r="B710" s="50"/>
      <c r="C710" s="59"/>
      <c r="H710" s="52"/>
      <c r="I710" s="44"/>
      <c r="J710" s="63"/>
    </row>
    <row r="711">
      <c r="B711" s="50"/>
      <c r="C711" s="59"/>
      <c r="H711" s="52"/>
      <c r="I711" s="44"/>
      <c r="J711" s="63"/>
    </row>
    <row r="712">
      <c r="B712" s="50"/>
      <c r="C712" s="59"/>
      <c r="H712" s="52"/>
      <c r="I712" s="44"/>
      <c r="J712" s="63"/>
    </row>
    <row r="713">
      <c r="B713" s="50"/>
      <c r="C713" s="59"/>
      <c r="H713" s="52"/>
      <c r="I713" s="44"/>
      <c r="J713" s="63"/>
    </row>
    <row r="714">
      <c r="B714" s="50"/>
      <c r="C714" s="59"/>
      <c r="H714" s="52"/>
      <c r="I714" s="44"/>
      <c r="J714" s="63"/>
    </row>
    <row r="715">
      <c r="B715" s="50"/>
      <c r="C715" s="59"/>
      <c r="H715" s="52"/>
      <c r="I715" s="44"/>
      <c r="J715" s="63"/>
    </row>
    <row r="716">
      <c r="B716" s="50"/>
      <c r="C716" s="59"/>
      <c r="H716" s="52"/>
      <c r="I716" s="44"/>
      <c r="J716" s="63"/>
    </row>
    <row r="717">
      <c r="B717" s="50"/>
      <c r="C717" s="59"/>
      <c r="H717" s="52"/>
      <c r="I717" s="44"/>
      <c r="J717" s="63"/>
    </row>
    <row r="718">
      <c r="B718" s="50"/>
      <c r="C718" s="59"/>
      <c r="H718" s="52"/>
      <c r="I718" s="44"/>
      <c r="J718" s="63"/>
    </row>
    <row r="719">
      <c r="B719" s="50"/>
      <c r="C719" s="59"/>
      <c r="H719" s="52"/>
      <c r="I719" s="44"/>
      <c r="J719" s="63"/>
    </row>
    <row r="720">
      <c r="B720" s="50"/>
      <c r="C720" s="59"/>
      <c r="H720" s="52"/>
      <c r="I720" s="44"/>
      <c r="J720" s="63"/>
    </row>
    <row r="721">
      <c r="B721" s="50"/>
      <c r="C721" s="59"/>
      <c r="H721" s="52"/>
      <c r="I721" s="44"/>
      <c r="J721" s="63"/>
    </row>
    <row r="722">
      <c r="B722" s="50"/>
      <c r="C722" s="59"/>
      <c r="H722" s="52"/>
      <c r="I722" s="44"/>
      <c r="J722" s="63"/>
    </row>
    <row r="723">
      <c r="B723" s="50"/>
      <c r="C723" s="59"/>
      <c r="H723" s="52"/>
      <c r="I723" s="44"/>
      <c r="J723" s="63"/>
    </row>
    <row r="724">
      <c r="B724" s="50"/>
      <c r="C724" s="59"/>
      <c r="H724" s="52"/>
      <c r="I724" s="44"/>
      <c r="J724" s="63"/>
    </row>
    <row r="725">
      <c r="B725" s="50"/>
      <c r="C725" s="59"/>
      <c r="H725" s="52"/>
      <c r="I725" s="44"/>
      <c r="J725" s="63"/>
    </row>
    <row r="726">
      <c r="B726" s="50"/>
      <c r="C726" s="59"/>
      <c r="H726" s="52"/>
      <c r="I726" s="44"/>
      <c r="J726" s="63"/>
    </row>
    <row r="727">
      <c r="B727" s="50"/>
      <c r="C727" s="59"/>
      <c r="H727" s="52"/>
      <c r="I727" s="44"/>
      <c r="J727" s="63"/>
    </row>
    <row r="728">
      <c r="B728" s="50"/>
      <c r="C728" s="59"/>
      <c r="H728" s="52"/>
      <c r="I728" s="44"/>
      <c r="J728" s="63"/>
    </row>
    <row r="729">
      <c r="B729" s="50"/>
      <c r="C729" s="59"/>
      <c r="H729" s="52"/>
      <c r="I729" s="44"/>
      <c r="J729" s="63"/>
    </row>
    <row r="730">
      <c r="B730" s="50"/>
      <c r="C730" s="59"/>
      <c r="H730" s="52"/>
      <c r="I730" s="44"/>
      <c r="J730" s="63"/>
    </row>
    <row r="731">
      <c r="B731" s="50"/>
      <c r="C731" s="59"/>
      <c r="H731" s="52"/>
      <c r="I731" s="44"/>
      <c r="J731" s="63"/>
    </row>
    <row r="732">
      <c r="B732" s="50"/>
      <c r="C732" s="59"/>
      <c r="H732" s="52"/>
      <c r="I732" s="44"/>
      <c r="J732" s="63"/>
    </row>
    <row r="733">
      <c r="B733" s="50"/>
      <c r="C733" s="59"/>
      <c r="H733" s="52"/>
      <c r="I733" s="44"/>
      <c r="J733" s="63"/>
    </row>
    <row r="734">
      <c r="B734" s="50"/>
      <c r="C734" s="59"/>
      <c r="H734" s="52"/>
      <c r="I734" s="44"/>
      <c r="J734" s="63"/>
    </row>
    <row r="735">
      <c r="B735" s="50"/>
      <c r="C735" s="59"/>
      <c r="H735" s="52"/>
      <c r="I735" s="44"/>
      <c r="J735" s="63"/>
    </row>
    <row r="736">
      <c r="B736" s="50"/>
      <c r="C736" s="59"/>
      <c r="H736" s="52"/>
      <c r="I736" s="44"/>
      <c r="J736" s="63"/>
    </row>
    <row r="737">
      <c r="B737" s="50"/>
      <c r="C737" s="59"/>
      <c r="H737" s="52"/>
      <c r="I737" s="44"/>
      <c r="J737" s="63"/>
    </row>
    <row r="738">
      <c r="B738" s="50"/>
      <c r="C738" s="59"/>
      <c r="H738" s="52"/>
      <c r="I738" s="44"/>
      <c r="J738" s="63"/>
    </row>
    <row r="739">
      <c r="B739" s="50"/>
      <c r="C739" s="59"/>
      <c r="H739" s="52"/>
      <c r="I739" s="44"/>
      <c r="J739" s="63"/>
    </row>
    <row r="740">
      <c r="B740" s="50"/>
      <c r="C740" s="59"/>
      <c r="H740" s="52"/>
      <c r="I740" s="44"/>
      <c r="J740" s="63"/>
    </row>
    <row r="741">
      <c r="B741" s="50"/>
      <c r="C741" s="59"/>
      <c r="H741" s="52"/>
      <c r="I741" s="44"/>
      <c r="J741" s="63"/>
    </row>
    <row r="742">
      <c r="B742" s="50"/>
      <c r="C742" s="59"/>
      <c r="H742" s="52"/>
      <c r="I742" s="44"/>
      <c r="J742" s="63"/>
    </row>
    <row r="743">
      <c r="B743" s="50"/>
      <c r="C743" s="59"/>
      <c r="H743" s="52"/>
      <c r="I743" s="44"/>
      <c r="J743" s="63"/>
    </row>
    <row r="744">
      <c r="B744" s="50"/>
      <c r="C744" s="59"/>
      <c r="H744" s="52"/>
      <c r="I744" s="44"/>
      <c r="J744" s="63"/>
    </row>
    <row r="745">
      <c r="B745" s="50"/>
      <c r="C745" s="59"/>
      <c r="H745" s="52"/>
      <c r="I745" s="44"/>
      <c r="J745" s="63"/>
    </row>
    <row r="746">
      <c r="B746" s="50"/>
      <c r="C746" s="59"/>
      <c r="H746" s="52"/>
      <c r="I746" s="44"/>
      <c r="J746" s="63"/>
    </row>
    <row r="747">
      <c r="B747" s="50"/>
      <c r="C747" s="59"/>
      <c r="H747" s="52"/>
      <c r="I747" s="44"/>
      <c r="J747" s="63"/>
    </row>
    <row r="748">
      <c r="B748" s="50"/>
      <c r="C748" s="59"/>
      <c r="H748" s="52"/>
      <c r="I748" s="44"/>
      <c r="J748" s="63"/>
    </row>
    <row r="749">
      <c r="B749" s="50"/>
      <c r="C749" s="59"/>
      <c r="H749" s="52"/>
      <c r="I749" s="44"/>
      <c r="J749" s="63"/>
    </row>
    <row r="750">
      <c r="B750" s="50"/>
      <c r="C750" s="59"/>
      <c r="H750" s="52"/>
      <c r="I750" s="44"/>
      <c r="J750" s="63"/>
    </row>
    <row r="751">
      <c r="B751" s="50"/>
      <c r="C751" s="59"/>
      <c r="H751" s="52"/>
      <c r="I751" s="44"/>
      <c r="J751" s="63"/>
    </row>
    <row r="752">
      <c r="B752" s="50"/>
      <c r="C752" s="59"/>
      <c r="H752" s="52"/>
      <c r="I752" s="44"/>
      <c r="J752" s="63"/>
    </row>
    <row r="753">
      <c r="B753" s="50"/>
      <c r="C753" s="59"/>
      <c r="H753" s="52"/>
      <c r="I753" s="44"/>
      <c r="J753" s="63"/>
    </row>
    <row r="754">
      <c r="B754" s="50"/>
      <c r="C754" s="59"/>
      <c r="H754" s="52"/>
      <c r="I754" s="44"/>
      <c r="J754" s="63"/>
    </row>
    <row r="755">
      <c r="B755" s="50"/>
      <c r="C755" s="59"/>
      <c r="H755" s="52"/>
      <c r="I755" s="44"/>
      <c r="J755" s="63"/>
    </row>
    <row r="756">
      <c r="B756" s="50"/>
      <c r="C756" s="59"/>
      <c r="H756" s="52"/>
      <c r="I756" s="44"/>
      <c r="J756" s="63"/>
    </row>
    <row r="757">
      <c r="B757" s="50"/>
      <c r="C757" s="59"/>
      <c r="H757" s="52"/>
      <c r="I757" s="44"/>
      <c r="J757" s="63"/>
    </row>
    <row r="758">
      <c r="B758" s="50"/>
      <c r="C758" s="59"/>
      <c r="H758" s="52"/>
      <c r="I758" s="44"/>
      <c r="J758" s="63"/>
    </row>
    <row r="759">
      <c r="B759" s="50"/>
      <c r="C759" s="59"/>
      <c r="H759" s="52"/>
      <c r="I759" s="44"/>
      <c r="J759" s="63"/>
    </row>
    <row r="760">
      <c r="B760" s="50"/>
      <c r="C760" s="59"/>
      <c r="H760" s="52"/>
      <c r="I760" s="44"/>
      <c r="J760" s="63"/>
    </row>
    <row r="761">
      <c r="B761" s="50"/>
      <c r="C761" s="59"/>
      <c r="H761" s="52"/>
      <c r="I761" s="44"/>
      <c r="J761" s="63"/>
    </row>
    <row r="762">
      <c r="B762" s="50"/>
      <c r="C762" s="59"/>
      <c r="H762" s="52"/>
      <c r="I762" s="44"/>
      <c r="J762" s="63"/>
    </row>
    <row r="763">
      <c r="B763" s="50"/>
      <c r="C763" s="59"/>
      <c r="H763" s="52"/>
      <c r="I763" s="44"/>
      <c r="J763" s="63"/>
    </row>
    <row r="764">
      <c r="B764" s="50"/>
      <c r="C764" s="59"/>
      <c r="H764" s="52"/>
      <c r="I764" s="44"/>
      <c r="J764" s="63"/>
    </row>
    <row r="765">
      <c r="B765" s="50"/>
      <c r="C765" s="59"/>
      <c r="H765" s="52"/>
      <c r="I765" s="44"/>
      <c r="J765" s="63"/>
    </row>
    <row r="766">
      <c r="B766" s="50"/>
      <c r="C766" s="59"/>
      <c r="H766" s="52"/>
      <c r="I766" s="44"/>
      <c r="J766" s="63"/>
    </row>
    <row r="767">
      <c r="B767" s="50"/>
      <c r="C767" s="59"/>
      <c r="H767" s="52"/>
      <c r="I767" s="44"/>
      <c r="J767" s="63"/>
    </row>
    <row r="768">
      <c r="B768" s="50"/>
      <c r="C768" s="59"/>
      <c r="H768" s="52"/>
      <c r="I768" s="44"/>
      <c r="J768" s="63"/>
    </row>
    <row r="769">
      <c r="B769" s="50"/>
      <c r="C769" s="59"/>
      <c r="H769" s="52"/>
      <c r="I769" s="44"/>
      <c r="J769" s="63"/>
    </row>
    <row r="770">
      <c r="B770" s="50"/>
      <c r="C770" s="59"/>
      <c r="H770" s="52"/>
      <c r="I770" s="44"/>
      <c r="J770" s="63"/>
    </row>
    <row r="771">
      <c r="B771" s="50"/>
      <c r="C771" s="59"/>
      <c r="H771" s="52"/>
      <c r="I771" s="44"/>
      <c r="J771" s="63"/>
    </row>
    <row r="772">
      <c r="B772" s="50"/>
      <c r="C772" s="59"/>
      <c r="H772" s="52"/>
      <c r="I772" s="44"/>
      <c r="J772" s="63"/>
    </row>
    <row r="773">
      <c r="B773" s="50"/>
      <c r="C773" s="59"/>
      <c r="H773" s="52"/>
      <c r="I773" s="44"/>
      <c r="J773" s="63"/>
    </row>
    <row r="774">
      <c r="B774" s="50"/>
      <c r="C774" s="59"/>
      <c r="H774" s="52"/>
      <c r="I774" s="44"/>
      <c r="J774" s="63"/>
    </row>
    <row r="775">
      <c r="B775" s="50"/>
      <c r="C775" s="59"/>
      <c r="H775" s="52"/>
      <c r="I775" s="44"/>
      <c r="J775" s="63"/>
    </row>
    <row r="776">
      <c r="B776" s="50"/>
      <c r="C776" s="59"/>
      <c r="H776" s="52"/>
      <c r="I776" s="44"/>
      <c r="J776" s="63"/>
    </row>
    <row r="777">
      <c r="B777" s="50"/>
      <c r="C777" s="59"/>
      <c r="H777" s="52"/>
      <c r="I777" s="44"/>
      <c r="J777" s="63"/>
    </row>
    <row r="778">
      <c r="B778" s="50"/>
      <c r="C778" s="59"/>
      <c r="H778" s="52"/>
      <c r="I778" s="44"/>
      <c r="J778" s="63"/>
    </row>
    <row r="779">
      <c r="B779" s="50"/>
      <c r="C779" s="59"/>
      <c r="H779" s="52"/>
      <c r="I779" s="44"/>
      <c r="J779" s="63"/>
    </row>
    <row r="780">
      <c r="B780" s="50"/>
      <c r="C780" s="59"/>
      <c r="H780" s="52"/>
      <c r="I780" s="44"/>
      <c r="J780" s="63"/>
    </row>
    <row r="781">
      <c r="B781" s="50"/>
      <c r="C781" s="59"/>
      <c r="H781" s="52"/>
      <c r="I781" s="44"/>
      <c r="J781" s="63"/>
    </row>
    <row r="782">
      <c r="B782" s="50"/>
      <c r="C782" s="59"/>
      <c r="H782" s="52"/>
      <c r="I782" s="44"/>
      <c r="J782" s="63"/>
    </row>
    <row r="783">
      <c r="B783" s="50"/>
      <c r="C783" s="59"/>
      <c r="H783" s="52"/>
      <c r="I783" s="44"/>
      <c r="J783" s="63"/>
    </row>
    <row r="784">
      <c r="B784" s="50"/>
      <c r="C784" s="59"/>
      <c r="H784" s="52"/>
      <c r="I784" s="44"/>
      <c r="J784" s="63"/>
    </row>
    <row r="785">
      <c r="B785" s="50"/>
      <c r="C785" s="59"/>
      <c r="H785" s="52"/>
      <c r="I785" s="44"/>
      <c r="J785" s="63"/>
    </row>
    <row r="786">
      <c r="B786" s="50"/>
      <c r="C786" s="59"/>
      <c r="H786" s="52"/>
      <c r="I786" s="44"/>
      <c r="J786" s="63"/>
    </row>
    <row r="787">
      <c r="B787" s="50"/>
      <c r="C787" s="59"/>
      <c r="H787" s="52"/>
      <c r="I787" s="44"/>
      <c r="J787" s="63"/>
    </row>
    <row r="788">
      <c r="B788" s="50"/>
      <c r="C788" s="59"/>
      <c r="H788" s="52"/>
      <c r="I788" s="44"/>
      <c r="J788" s="63"/>
    </row>
    <row r="789">
      <c r="B789" s="50"/>
      <c r="C789" s="59"/>
      <c r="H789" s="52"/>
      <c r="I789" s="44"/>
      <c r="J789" s="63"/>
    </row>
    <row r="790">
      <c r="B790" s="50"/>
      <c r="C790" s="59"/>
      <c r="H790" s="52"/>
      <c r="I790" s="44"/>
      <c r="J790" s="63"/>
    </row>
    <row r="791">
      <c r="B791" s="50"/>
      <c r="C791" s="59"/>
      <c r="H791" s="52"/>
      <c r="I791" s="44"/>
      <c r="J791" s="63"/>
    </row>
    <row r="792">
      <c r="B792" s="50"/>
      <c r="C792" s="59"/>
      <c r="H792" s="52"/>
      <c r="I792" s="44"/>
      <c r="J792" s="63"/>
    </row>
    <row r="793">
      <c r="B793" s="50"/>
      <c r="C793" s="59"/>
      <c r="H793" s="52"/>
      <c r="I793" s="44"/>
      <c r="J793" s="63"/>
    </row>
    <row r="794">
      <c r="B794" s="50"/>
      <c r="C794" s="59"/>
      <c r="H794" s="52"/>
      <c r="I794" s="44"/>
      <c r="J794" s="63"/>
    </row>
    <row r="795">
      <c r="B795" s="50"/>
      <c r="C795" s="59"/>
      <c r="H795" s="52"/>
      <c r="I795" s="44"/>
      <c r="J795" s="63"/>
    </row>
    <row r="796">
      <c r="B796" s="50"/>
      <c r="C796" s="59"/>
      <c r="H796" s="52"/>
      <c r="I796" s="44"/>
      <c r="J796" s="63"/>
    </row>
    <row r="797">
      <c r="B797" s="50"/>
      <c r="C797" s="59"/>
      <c r="H797" s="52"/>
      <c r="I797" s="44"/>
      <c r="J797" s="63"/>
    </row>
    <row r="798">
      <c r="B798" s="50"/>
      <c r="C798" s="59"/>
      <c r="H798" s="52"/>
      <c r="I798" s="44"/>
      <c r="J798" s="63"/>
    </row>
    <row r="799">
      <c r="B799" s="50"/>
      <c r="C799" s="59"/>
      <c r="H799" s="52"/>
      <c r="I799" s="44"/>
      <c r="J799" s="63"/>
    </row>
    <row r="800">
      <c r="B800" s="50"/>
      <c r="C800" s="59"/>
      <c r="H800" s="52"/>
      <c r="I800" s="44"/>
      <c r="J800" s="63"/>
    </row>
    <row r="801">
      <c r="B801" s="50"/>
      <c r="C801" s="59"/>
      <c r="H801" s="52"/>
      <c r="I801" s="44"/>
      <c r="J801" s="63"/>
    </row>
    <row r="802">
      <c r="B802" s="50"/>
      <c r="C802" s="59"/>
      <c r="H802" s="52"/>
      <c r="I802" s="44"/>
      <c r="J802" s="63"/>
    </row>
    <row r="803">
      <c r="B803" s="50"/>
      <c r="C803" s="59"/>
      <c r="H803" s="52"/>
      <c r="I803" s="44"/>
      <c r="J803" s="63"/>
    </row>
    <row r="804">
      <c r="B804" s="50"/>
      <c r="C804" s="59"/>
      <c r="H804" s="52"/>
      <c r="I804" s="44"/>
      <c r="J804" s="63"/>
    </row>
    <row r="805">
      <c r="B805" s="50"/>
      <c r="C805" s="59"/>
      <c r="H805" s="52"/>
      <c r="I805" s="44"/>
      <c r="J805" s="63"/>
    </row>
    <row r="806">
      <c r="B806" s="50"/>
      <c r="C806" s="59"/>
      <c r="H806" s="52"/>
      <c r="I806" s="44"/>
      <c r="J806" s="63"/>
    </row>
    <row r="807">
      <c r="B807" s="50"/>
      <c r="C807" s="59"/>
      <c r="H807" s="52"/>
      <c r="I807" s="44"/>
      <c r="J807" s="63"/>
    </row>
    <row r="808">
      <c r="B808" s="50"/>
      <c r="C808" s="59"/>
      <c r="H808" s="52"/>
      <c r="I808" s="44"/>
      <c r="J808" s="63"/>
    </row>
    <row r="809">
      <c r="B809" s="50"/>
      <c r="C809" s="59"/>
      <c r="H809" s="52"/>
      <c r="I809" s="44"/>
      <c r="J809" s="63"/>
    </row>
    <row r="810">
      <c r="B810" s="50"/>
      <c r="C810" s="59"/>
      <c r="H810" s="52"/>
      <c r="I810" s="44"/>
      <c r="J810" s="63"/>
    </row>
    <row r="811">
      <c r="B811" s="50"/>
      <c r="C811" s="59"/>
      <c r="H811" s="52"/>
      <c r="I811" s="44"/>
      <c r="J811" s="63"/>
    </row>
    <row r="812">
      <c r="B812" s="50"/>
      <c r="C812" s="59"/>
      <c r="H812" s="52"/>
      <c r="I812" s="44"/>
      <c r="J812" s="63"/>
    </row>
    <row r="813">
      <c r="B813" s="50"/>
      <c r="C813" s="59"/>
      <c r="H813" s="52"/>
      <c r="I813" s="44"/>
      <c r="J813" s="63"/>
    </row>
    <row r="814">
      <c r="B814" s="50"/>
      <c r="C814" s="59"/>
      <c r="H814" s="52"/>
      <c r="I814" s="44"/>
      <c r="J814" s="63"/>
    </row>
    <row r="815">
      <c r="B815" s="50"/>
      <c r="C815" s="59"/>
      <c r="H815" s="52"/>
      <c r="I815" s="44"/>
      <c r="J815" s="63"/>
    </row>
    <row r="816">
      <c r="B816" s="50"/>
      <c r="C816" s="59"/>
      <c r="H816" s="52"/>
      <c r="I816" s="44"/>
      <c r="J816" s="63"/>
    </row>
    <row r="817">
      <c r="B817" s="50"/>
      <c r="C817" s="59"/>
      <c r="H817" s="52"/>
      <c r="I817" s="44"/>
      <c r="J817" s="63"/>
    </row>
    <row r="818">
      <c r="B818" s="50"/>
      <c r="C818" s="59"/>
      <c r="H818" s="52"/>
      <c r="I818" s="44"/>
      <c r="J818" s="63"/>
    </row>
    <row r="819">
      <c r="B819" s="50"/>
      <c r="C819" s="59"/>
      <c r="H819" s="52"/>
      <c r="I819" s="44"/>
      <c r="J819" s="63"/>
    </row>
    <row r="820">
      <c r="B820" s="50"/>
      <c r="C820" s="59"/>
      <c r="H820" s="52"/>
      <c r="I820" s="44"/>
      <c r="J820" s="63"/>
    </row>
    <row r="821">
      <c r="B821" s="50"/>
      <c r="C821" s="59"/>
      <c r="H821" s="52"/>
      <c r="I821" s="44"/>
      <c r="J821" s="63"/>
    </row>
    <row r="822">
      <c r="B822" s="50"/>
      <c r="C822" s="59"/>
      <c r="H822" s="52"/>
      <c r="I822" s="44"/>
      <c r="J822" s="63"/>
    </row>
    <row r="823">
      <c r="B823" s="50"/>
      <c r="C823" s="59"/>
      <c r="H823" s="52"/>
      <c r="I823" s="44"/>
      <c r="J823" s="63"/>
    </row>
    <row r="824">
      <c r="B824" s="50"/>
      <c r="C824" s="59"/>
      <c r="H824" s="52"/>
      <c r="I824" s="44"/>
      <c r="J824" s="63"/>
    </row>
    <row r="825">
      <c r="B825" s="50"/>
      <c r="C825" s="59"/>
      <c r="H825" s="52"/>
      <c r="I825" s="44"/>
      <c r="J825" s="63"/>
    </row>
    <row r="826">
      <c r="B826" s="50"/>
      <c r="C826" s="59"/>
      <c r="H826" s="52"/>
      <c r="I826" s="44"/>
      <c r="J826" s="63"/>
    </row>
    <row r="827">
      <c r="B827" s="50"/>
      <c r="C827" s="59"/>
      <c r="H827" s="52"/>
      <c r="I827" s="44"/>
      <c r="J827" s="63"/>
    </row>
    <row r="828">
      <c r="B828" s="50"/>
      <c r="C828" s="59"/>
      <c r="H828" s="52"/>
      <c r="I828" s="44"/>
      <c r="J828" s="63"/>
    </row>
    <row r="829">
      <c r="B829" s="50"/>
      <c r="C829" s="59"/>
      <c r="H829" s="52"/>
      <c r="I829" s="44"/>
      <c r="J829" s="63"/>
    </row>
    <row r="830">
      <c r="B830" s="50"/>
      <c r="C830" s="59"/>
      <c r="H830" s="52"/>
      <c r="I830" s="44"/>
      <c r="J830" s="63"/>
    </row>
    <row r="831">
      <c r="B831" s="50"/>
      <c r="C831" s="59"/>
      <c r="H831" s="52"/>
      <c r="I831" s="44"/>
      <c r="J831" s="63"/>
    </row>
    <row r="832">
      <c r="B832" s="50"/>
      <c r="C832" s="59"/>
      <c r="H832" s="52"/>
      <c r="I832" s="44"/>
      <c r="J832" s="63"/>
    </row>
    <row r="833">
      <c r="B833" s="50"/>
      <c r="C833" s="59"/>
      <c r="H833" s="52"/>
      <c r="I833" s="44"/>
      <c r="J833" s="63"/>
    </row>
    <row r="834">
      <c r="B834" s="50"/>
      <c r="C834" s="59"/>
      <c r="H834" s="52"/>
      <c r="I834" s="44"/>
      <c r="J834" s="63"/>
    </row>
    <row r="835">
      <c r="B835" s="50"/>
      <c r="C835" s="59"/>
      <c r="H835" s="52"/>
      <c r="I835" s="44"/>
      <c r="J835" s="63"/>
    </row>
    <row r="836">
      <c r="B836" s="50"/>
      <c r="C836" s="59"/>
      <c r="H836" s="52"/>
      <c r="I836" s="44"/>
      <c r="J836" s="63"/>
    </row>
    <row r="837">
      <c r="B837" s="50"/>
      <c r="C837" s="59"/>
      <c r="H837" s="52"/>
      <c r="I837" s="44"/>
      <c r="J837" s="63"/>
    </row>
    <row r="838">
      <c r="B838" s="50"/>
      <c r="C838" s="59"/>
      <c r="H838" s="52"/>
      <c r="I838" s="44"/>
      <c r="J838" s="63"/>
    </row>
    <row r="839">
      <c r="B839" s="50"/>
      <c r="C839" s="59"/>
      <c r="H839" s="52"/>
      <c r="I839" s="44"/>
      <c r="J839" s="63"/>
    </row>
    <row r="840">
      <c r="B840" s="50"/>
      <c r="C840" s="59"/>
      <c r="H840" s="52"/>
      <c r="I840" s="44"/>
      <c r="J840" s="63"/>
    </row>
    <row r="841">
      <c r="B841" s="50"/>
      <c r="C841" s="59"/>
      <c r="H841" s="52"/>
      <c r="I841" s="44"/>
      <c r="J841" s="63"/>
    </row>
    <row r="842">
      <c r="B842" s="50"/>
      <c r="C842" s="59"/>
      <c r="H842" s="52"/>
      <c r="I842" s="44"/>
      <c r="J842" s="63"/>
    </row>
    <row r="843">
      <c r="B843" s="50"/>
      <c r="C843" s="59"/>
      <c r="H843" s="52"/>
      <c r="I843" s="44"/>
      <c r="J843" s="63"/>
    </row>
    <row r="844">
      <c r="B844" s="50"/>
      <c r="C844" s="59"/>
      <c r="H844" s="52"/>
      <c r="I844" s="44"/>
      <c r="J844" s="63"/>
    </row>
    <row r="845">
      <c r="B845" s="50"/>
      <c r="C845" s="59"/>
      <c r="H845" s="52"/>
      <c r="I845" s="44"/>
      <c r="J845" s="63"/>
    </row>
    <row r="846">
      <c r="B846" s="50"/>
      <c r="C846" s="59"/>
      <c r="H846" s="52"/>
      <c r="I846" s="44"/>
      <c r="J846" s="63"/>
    </row>
    <row r="847">
      <c r="B847" s="50"/>
      <c r="C847" s="59"/>
      <c r="H847" s="52"/>
      <c r="I847" s="44"/>
      <c r="J847" s="63"/>
    </row>
    <row r="848">
      <c r="B848" s="50"/>
      <c r="C848" s="59"/>
      <c r="H848" s="52"/>
      <c r="I848" s="44"/>
      <c r="J848" s="63"/>
    </row>
    <row r="849">
      <c r="B849" s="50"/>
      <c r="C849" s="59"/>
      <c r="H849" s="52"/>
      <c r="I849" s="44"/>
      <c r="J849" s="63"/>
    </row>
    <row r="850">
      <c r="B850" s="50"/>
      <c r="C850" s="59"/>
      <c r="H850" s="52"/>
      <c r="I850" s="44"/>
      <c r="J850" s="63"/>
    </row>
    <row r="851">
      <c r="B851" s="50"/>
      <c r="C851" s="59"/>
      <c r="H851" s="52"/>
      <c r="I851" s="44"/>
      <c r="J851" s="63"/>
    </row>
    <row r="852">
      <c r="B852" s="50"/>
      <c r="C852" s="59"/>
      <c r="H852" s="52"/>
      <c r="I852" s="44"/>
      <c r="J852" s="63"/>
    </row>
    <row r="853">
      <c r="B853" s="50"/>
      <c r="C853" s="59"/>
      <c r="H853" s="52"/>
      <c r="I853" s="44"/>
      <c r="J853" s="63"/>
    </row>
    <row r="854">
      <c r="B854" s="50"/>
      <c r="C854" s="59"/>
      <c r="H854" s="52"/>
      <c r="I854" s="44"/>
      <c r="J854" s="63"/>
    </row>
    <row r="855">
      <c r="B855" s="50"/>
      <c r="C855" s="59"/>
      <c r="H855" s="52"/>
      <c r="I855" s="44"/>
      <c r="J855" s="63"/>
    </row>
    <row r="856">
      <c r="B856" s="50"/>
      <c r="C856" s="59"/>
      <c r="H856" s="52"/>
      <c r="I856" s="44"/>
      <c r="J856" s="63"/>
    </row>
    <row r="857">
      <c r="B857" s="50"/>
      <c r="C857" s="59"/>
      <c r="H857" s="52"/>
      <c r="I857" s="44"/>
      <c r="J857" s="63"/>
    </row>
    <row r="858">
      <c r="B858" s="50"/>
      <c r="C858" s="59"/>
      <c r="H858" s="52"/>
      <c r="I858" s="44"/>
      <c r="J858" s="63"/>
    </row>
    <row r="859">
      <c r="B859" s="50"/>
      <c r="C859" s="59"/>
      <c r="H859" s="52"/>
      <c r="I859" s="44"/>
      <c r="J859" s="63"/>
    </row>
    <row r="860">
      <c r="B860" s="50"/>
      <c r="C860" s="59"/>
      <c r="H860" s="52"/>
      <c r="I860" s="44"/>
      <c r="J860" s="63"/>
    </row>
    <row r="861">
      <c r="B861" s="50"/>
      <c r="C861" s="59"/>
      <c r="H861" s="52"/>
      <c r="I861" s="44"/>
      <c r="J861" s="63"/>
    </row>
    <row r="862">
      <c r="B862" s="50"/>
      <c r="C862" s="59"/>
      <c r="H862" s="52"/>
      <c r="I862" s="44"/>
      <c r="J862" s="63"/>
    </row>
    <row r="863">
      <c r="B863" s="50"/>
      <c r="C863" s="59"/>
      <c r="H863" s="52"/>
      <c r="I863" s="44"/>
      <c r="J863" s="63"/>
    </row>
    <row r="864">
      <c r="B864" s="50"/>
      <c r="C864" s="59"/>
      <c r="H864" s="52"/>
      <c r="I864" s="44"/>
      <c r="J864" s="63"/>
    </row>
    <row r="865">
      <c r="B865" s="50"/>
      <c r="C865" s="59"/>
      <c r="H865" s="52"/>
      <c r="I865" s="44"/>
      <c r="J865" s="63"/>
    </row>
    <row r="866">
      <c r="B866" s="50"/>
      <c r="C866" s="59"/>
      <c r="H866" s="52"/>
      <c r="I866" s="44"/>
      <c r="J866" s="63"/>
    </row>
    <row r="867">
      <c r="B867" s="50"/>
      <c r="C867" s="59"/>
      <c r="H867" s="52"/>
      <c r="I867" s="44"/>
      <c r="J867" s="63"/>
    </row>
    <row r="868">
      <c r="B868" s="50"/>
      <c r="C868" s="59"/>
      <c r="H868" s="52"/>
      <c r="I868" s="44"/>
      <c r="J868" s="63"/>
    </row>
    <row r="869">
      <c r="B869" s="50"/>
      <c r="C869" s="59"/>
      <c r="H869" s="52"/>
      <c r="I869" s="44"/>
      <c r="J869" s="63"/>
    </row>
    <row r="870">
      <c r="B870" s="50"/>
      <c r="C870" s="59"/>
      <c r="H870" s="52"/>
      <c r="I870" s="44"/>
      <c r="J870" s="63"/>
    </row>
    <row r="871">
      <c r="B871" s="50"/>
      <c r="C871" s="59"/>
      <c r="H871" s="52"/>
      <c r="I871" s="44"/>
      <c r="J871" s="63"/>
    </row>
    <row r="872">
      <c r="B872" s="50"/>
      <c r="C872" s="59"/>
      <c r="H872" s="52"/>
      <c r="I872" s="44"/>
      <c r="J872" s="63"/>
    </row>
    <row r="873">
      <c r="B873" s="50"/>
      <c r="C873" s="59"/>
      <c r="H873" s="52"/>
      <c r="I873" s="44"/>
      <c r="J873" s="63"/>
    </row>
    <row r="874">
      <c r="B874" s="50"/>
      <c r="C874" s="59"/>
      <c r="H874" s="52"/>
      <c r="I874" s="44"/>
      <c r="J874" s="63"/>
    </row>
    <row r="875">
      <c r="B875" s="50"/>
      <c r="C875" s="59"/>
      <c r="H875" s="52"/>
      <c r="I875" s="44"/>
      <c r="J875" s="63"/>
    </row>
    <row r="876">
      <c r="B876" s="50"/>
      <c r="C876" s="59"/>
      <c r="H876" s="52"/>
      <c r="I876" s="44"/>
      <c r="J876" s="63"/>
    </row>
    <row r="877">
      <c r="B877" s="50"/>
      <c r="C877" s="59"/>
      <c r="H877" s="52"/>
      <c r="I877" s="44"/>
      <c r="J877" s="63"/>
    </row>
    <row r="878">
      <c r="B878" s="50"/>
      <c r="C878" s="59"/>
      <c r="H878" s="52"/>
      <c r="I878" s="44"/>
      <c r="J878" s="63"/>
    </row>
    <row r="879">
      <c r="B879" s="50"/>
      <c r="C879" s="59"/>
      <c r="H879" s="52"/>
      <c r="I879" s="44"/>
      <c r="J879" s="63"/>
    </row>
    <row r="880">
      <c r="B880" s="50"/>
      <c r="C880" s="59"/>
      <c r="H880" s="52"/>
      <c r="I880" s="44"/>
      <c r="J880" s="63"/>
    </row>
    <row r="881">
      <c r="B881" s="50"/>
      <c r="C881" s="59"/>
      <c r="H881" s="52"/>
      <c r="I881" s="44"/>
      <c r="J881" s="63"/>
    </row>
    <row r="882">
      <c r="B882" s="50"/>
      <c r="C882" s="59"/>
      <c r="H882" s="52"/>
      <c r="I882" s="44"/>
      <c r="J882" s="63"/>
    </row>
    <row r="883">
      <c r="B883" s="50"/>
      <c r="C883" s="59"/>
      <c r="H883" s="52"/>
      <c r="I883" s="44"/>
      <c r="J883" s="63"/>
    </row>
    <row r="884">
      <c r="B884" s="50"/>
      <c r="C884" s="59"/>
      <c r="H884" s="52"/>
      <c r="I884" s="44"/>
      <c r="J884" s="63"/>
    </row>
    <row r="885">
      <c r="B885" s="50"/>
      <c r="C885" s="59"/>
      <c r="H885" s="52"/>
      <c r="I885" s="44"/>
      <c r="J885" s="63"/>
    </row>
    <row r="886">
      <c r="B886" s="50"/>
      <c r="C886" s="59"/>
      <c r="H886" s="52"/>
      <c r="I886" s="44"/>
      <c r="J886" s="63"/>
    </row>
    <row r="887">
      <c r="B887" s="50"/>
      <c r="C887" s="59"/>
      <c r="H887" s="52"/>
      <c r="I887" s="44"/>
      <c r="J887" s="63"/>
    </row>
    <row r="888">
      <c r="B888" s="50"/>
      <c r="C888" s="59"/>
      <c r="H888" s="52"/>
      <c r="I888" s="44"/>
      <c r="J888" s="63"/>
    </row>
    <row r="889">
      <c r="B889" s="50"/>
      <c r="C889" s="59"/>
      <c r="H889" s="52"/>
      <c r="I889" s="44"/>
      <c r="J889" s="63"/>
    </row>
    <row r="890">
      <c r="B890" s="50"/>
      <c r="C890" s="59"/>
      <c r="H890" s="52"/>
      <c r="I890" s="44"/>
      <c r="J890" s="63"/>
    </row>
    <row r="891">
      <c r="B891" s="50"/>
      <c r="C891" s="59"/>
      <c r="H891" s="52"/>
      <c r="I891" s="44"/>
      <c r="J891" s="63"/>
    </row>
    <row r="892">
      <c r="B892" s="50"/>
      <c r="C892" s="59"/>
      <c r="H892" s="52"/>
      <c r="I892" s="44"/>
      <c r="J892" s="63"/>
    </row>
    <row r="893">
      <c r="B893" s="50"/>
      <c r="C893" s="59"/>
      <c r="H893" s="52"/>
      <c r="I893" s="44"/>
      <c r="J893" s="63"/>
    </row>
    <row r="894">
      <c r="B894" s="50"/>
      <c r="C894" s="59"/>
      <c r="H894" s="52"/>
      <c r="I894" s="44"/>
      <c r="J894" s="63"/>
    </row>
    <row r="895">
      <c r="B895" s="50"/>
      <c r="C895" s="59"/>
      <c r="H895" s="52"/>
      <c r="I895" s="44"/>
      <c r="J895" s="63"/>
    </row>
    <row r="896">
      <c r="B896" s="50"/>
      <c r="C896" s="59"/>
      <c r="H896" s="52"/>
      <c r="I896" s="44"/>
      <c r="J896" s="63"/>
    </row>
    <row r="897">
      <c r="B897" s="50"/>
      <c r="C897" s="59"/>
      <c r="H897" s="52"/>
      <c r="I897" s="44"/>
      <c r="J897" s="63"/>
    </row>
    <row r="898">
      <c r="B898" s="50"/>
      <c r="C898" s="59"/>
      <c r="H898" s="52"/>
      <c r="I898" s="44"/>
      <c r="J898" s="63"/>
    </row>
    <row r="899">
      <c r="B899" s="50"/>
      <c r="C899" s="59"/>
      <c r="H899" s="52"/>
      <c r="I899" s="44"/>
      <c r="J899" s="63"/>
    </row>
    <row r="900">
      <c r="B900" s="50"/>
      <c r="C900" s="59"/>
      <c r="H900" s="52"/>
      <c r="I900" s="44"/>
      <c r="J900" s="63"/>
    </row>
    <row r="901">
      <c r="B901" s="50"/>
      <c r="C901" s="59"/>
      <c r="H901" s="52"/>
      <c r="I901" s="44"/>
      <c r="J901" s="63"/>
    </row>
    <row r="902">
      <c r="B902" s="50"/>
      <c r="C902" s="59"/>
      <c r="H902" s="52"/>
      <c r="I902" s="44"/>
      <c r="J902" s="63"/>
    </row>
    <row r="903">
      <c r="B903" s="50"/>
      <c r="C903" s="59"/>
      <c r="H903" s="52"/>
      <c r="I903" s="44"/>
      <c r="J903" s="63"/>
    </row>
    <row r="904">
      <c r="B904" s="50"/>
      <c r="C904" s="59"/>
      <c r="H904" s="52"/>
      <c r="I904" s="44"/>
      <c r="J904" s="63"/>
    </row>
    <row r="905">
      <c r="B905" s="50"/>
      <c r="C905" s="59"/>
      <c r="H905" s="52"/>
      <c r="I905" s="44"/>
      <c r="J905" s="63"/>
    </row>
    <row r="906">
      <c r="B906" s="50"/>
      <c r="C906" s="59"/>
      <c r="H906" s="52"/>
      <c r="I906" s="44"/>
      <c r="J906" s="63"/>
    </row>
    <row r="907">
      <c r="B907" s="50"/>
      <c r="C907" s="59"/>
      <c r="H907" s="52"/>
      <c r="I907" s="44"/>
      <c r="J907" s="63"/>
    </row>
    <row r="908">
      <c r="B908" s="50"/>
      <c r="C908" s="59"/>
      <c r="H908" s="52"/>
      <c r="I908" s="44"/>
      <c r="J908" s="63"/>
    </row>
    <row r="909">
      <c r="B909" s="50"/>
      <c r="C909" s="59"/>
      <c r="H909" s="52"/>
      <c r="I909" s="44"/>
      <c r="J909" s="63"/>
    </row>
    <row r="910">
      <c r="B910" s="50"/>
      <c r="C910" s="59"/>
      <c r="H910" s="52"/>
      <c r="I910" s="44"/>
      <c r="J910" s="63"/>
    </row>
    <row r="911">
      <c r="B911" s="50"/>
      <c r="C911" s="59"/>
      <c r="H911" s="52"/>
      <c r="I911" s="44"/>
      <c r="J911" s="63"/>
    </row>
    <row r="912">
      <c r="B912" s="50"/>
      <c r="C912" s="59"/>
      <c r="H912" s="52"/>
      <c r="I912" s="44"/>
      <c r="J912" s="63"/>
    </row>
    <row r="913">
      <c r="B913" s="50"/>
      <c r="C913" s="59"/>
      <c r="H913" s="52"/>
      <c r="I913" s="44"/>
      <c r="J913" s="63"/>
    </row>
    <row r="914">
      <c r="B914" s="50"/>
      <c r="C914" s="59"/>
      <c r="H914" s="52"/>
      <c r="I914" s="44"/>
      <c r="J914" s="63"/>
    </row>
    <row r="915">
      <c r="B915" s="50"/>
      <c r="C915" s="59"/>
      <c r="H915" s="52"/>
      <c r="I915" s="44"/>
      <c r="J915" s="63"/>
    </row>
    <row r="916">
      <c r="B916" s="50"/>
      <c r="C916" s="59"/>
      <c r="H916" s="52"/>
      <c r="I916" s="44"/>
      <c r="J916" s="63"/>
    </row>
    <row r="917">
      <c r="B917" s="50"/>
      <c r="C917" s="59"/>
      <c r="H917" s="52"/>
      <c r="I917" s="44"/>
      <c r="J917" s="63"/>
    </row>
    <row r="918">
      <c r="B918" s="50"/>
      <c r="C918" s="59"/>
      <c r="H918" s="52"/>
      <c r="I918" s="44"/>
      <c r="J918" s="63"/>
    </row>
    <row r="919">
      <c r="B919" s="50"/>
      <c r="C919" s="59"/>
      <c r="H919" s="52"/>
      <c r="I919" s="44"/>
      <c r="J919" s="63"/>
    </row>
    <row r="920">
      <c r="B920" s="50"/>
      <c r="C920" s="59"/>
      <c r="H920" s="52"/>
      <c r="I920" s="44"/>
      <c r="J920" s="63"/>
    </row>
    <row r="921">
      <c r="B921" s="50"/>
      <c r="C921" s="59"/>
      <c r="H921" s="52"/>
      <c r="I921" s="44"/>
      <c r="J921" s="63"/>
    </row>
    <row r="922">
      <c r="B922" s="50"/>
      <c r="C922" s="59"/>
      <c r="H922" s="52"/>
      <c r="I922" s="44"/>
      <c r="J922" s="63"/>
    </row>
    <row r="923">
      <c r="B923" s="50"/>
      <c r="C923" s="59"/>
      <c r="H923" s="52"/>
      <c r="I923" s="44"/>
      <c r="J923" s="63"/>
    </row>
    <row r="924">
      <c r="B924" s="50"/>
      <c r="C924" s="59"/>
      <c r="H924" s="52"/>
      <c r="I924" s="44"/>
      <c r="J924" s="63"/>
    </row>
    <row r="925">
      <c r="B925" s="50"/>
      <c r="C925" s="59"/>
      <c r="H925" s="52"/>
      <c r="I925" s="44"/>
      <c r="J925" s="63"/>
    </row>
    <row r="926">
      <c r="B926" s="50"/>
      <c r="C926" s="59"/>
      <c r="H926" s="52"/>
      <c r="I926" s="44"/>
      <c r="J926" s="63"/>
    </row>
    <row r="927">
      <c r="B927" s="50"/>
      <c r="C927" s="59"/>
      <c r="H927" s="52"/>
      <c r="I927" s="44"/>
      <c r="J927" s="63"/>
    </row>
    <row r="928">
      <c r="B928" s="50"/>
      <c r="C928" s="59"/>
      <c r="H928" s="52"/>
      <c r="I928" s="44"/>
      <c r="J928" s="63"/>
    </row>
    <row r="929">
      <c r="B929" s="50"/>
      <c r="C929" s="59"/>
      <c r="H929" s="52"/>
      <c r="I929" s="44"/>
      <c r="J929" s="63"/>
    </row>
    <row r="930">
      <c r="B930" s="50"/>
      <c r="C930" s="59"/>
      <c r="H930" s="52"/>
      <c r="I930" s="44"/>
      <c r="J930" s="63"/>
    </row>
    <row r="931">
      <c r="B931" s="50"/>
      <c r="C931" s="59"/>
      <c r="H931" s="52"/>
      <c r="I931" s="44"/>
      <c r="J931" s="63"/>
    </row>
    <row r="932">
      <c r="B932" s="50"/>
      <c r="C932" s="59"/>
      <c r="H932" s="52"/>
      <c r="I932" s="44"/>
      <c r="J932" s="63"/>
    </row>
    <row r="933">
      <c r="B933" s="50"/>
      <c r="C933" s="59"/>
      <c r="H933" s="52"/>
      <c r="I933" s="44"/>
      <c r="J933" s="63"/>
    </row>
    <row r="934">
      <c r="B934" s="50"/>
      <c r="C934" s="59"/>
      <c r="H934" s="52"/>
      <c r="I934" s="44"/>
      <c r="J934" s="63"/>
    </row>
    <row r="935">
      <c r="B935" s="50"/>
      <c r="C935" s="59"/>
      <c r="H935" s="52"/>
      <c r="I935" s="44"/>
      <c r="J935" s="63"/>
    </row>
    <row r="936">
      <c r="B936" s="50"/>
      <c r="C936" s="59"/>
      <c r="H936" s="52"/>
      <c r="I936" s="44"/>
      <c r="J936" s="63"/>
    </row>
    <row r="937">
      <c r="B937" s="50"/>
      <c r="C937" s="59"/>
      <c r="H937" s="52"/>
      <c r="I937" s="44"/>
      <c r="J937" s="63"/>
    </row>
    <row r="938">
      <c r="B938" s="50"/>
      <c r="C938" s="59"/>
      <c r="H938" s="52"/>
      <c r="I938" s="44"/>
      <c r="J938" s="63"/>
    </row>
    <row r="939">
      <c r="B939" s="50"/>
      <c r="C939" s="59"/>
      <c r="H939" s="52"/>
      <c r="I939" s="44"/>
      <c r="J939" s="63"/>
    </row>
    <row r="940">
      <c r="B940" s="50"/>
      <c r="C940" s="59"/>
      <c r="H940" s="52"/>
      <c r="I940" s="44"/>
      <c r="J940" s="63"/>
    </row>
    <row r="941">
      <c r="B941" s="50"/>
      <c r="C941" s="59"/>
      <c r="H941" s="52"/>
      <c r="I941" s="44"/>
      <c r="J941" s="63"/>
    </row>
    <row r="942">
      <c r="B942" s="50"/>
      <c r="C942" s="59"/>
      <c r="H942" s="52"/>
      <c r="I942" s="44"/>
      <c r="J942" s="63"/>
    </row>
    <row r="943">
      <c r="B943" s="50"/>
      <c r="C943" s="59"/>
      <c r="H943" s="52"/>
      <c r="I943" s="44"/>
      <c r="J943" s="63"/>
    </row>
    <row r="944">
      <c r="B944" s="50"/>
      <c r="C944" s="59"/>
      <c r="H944" s="52"/>
      <c r="I944" s="44"/>
      <c r="J944" s="63"/>
    </row>
    <row r="945">
      <c r="B945" s="50"/>
      <c r="C945" s="59"/>
      <c r="H945" s="52"/>
      <c r="I945" s="44"/>
      <c r="J945" s="63"/>
    </row>
    <row r="946">
      <c r="B946" s="50"/>
      <c r="C946" s="59"/>
      <c r="H946" s="52"/>
      <c r="I946" s="44"/>
      <c r="J946" s="63"/>
    </row>
    <row r="947">
      <c r="B947" s="50"/>
      <c r="C947" s="59"/>
      <c r="H947" s="52"/>
      <c r="I947" s="44"/>
      <c r="J947" s="63"/>
    </row>
    <row r="948">
      <c r="B948" s="50"/>
      <c r="C948" s="59"/>
      <c r="H948" s="52"/>
      <c r="I948" s="44"/>
      <c r="J948" s="63"/>
    </row>
    <row r="949">
      <c r="B949" s="50"/>
      <c r="C949" s="59"/>
      <c r="H949" s="52"/>
      <c r="I949" s="44"/>
      <c r="J949" s="63"/>
    </row>
    <row r="950">
      <c r="B950" s="50"/>
      <c r="C950" s="59"/>
      <c r="H950" s="52"/>
      <c r="I950" s="44"/>
      <c r="J950" s="63"/>
    </row>
    <row r="951">
      <c r="B951" s="50"/>
      <c r="C951" s="59"/>
      <c r="H951" s="52"/>
      <c r="I951" s="44"/>
      <c r="J951" s="63"/>
    </row>
    <row r="952">
      <c r="B952" s="50"/>
      <c r="C952" s="59"/>
      <c r="H952" s="52"/>
      <c r="I952" s="44"/>
      <c r="J952" s="63"/>
    </row>
    <row r="953">
      <c r="B953" s="50"/>
      <c r="C953" s="59"/>
      <c r="H953" s="52"/>
      <c r="I953" s="44"/>
      <c r="J953" s="63"/>
    </row>
    <row r="954">
      <c r="B954" s="50"/>
      <c r="C954" s="59"/>
      <c r="H954" s="52"/>
      <c r="I954" s="44"/>
      <c r="J954" s="63"/>
    </row>
    <row r="955">
      <c r="B955" s="50"/>
      <c r="C955" s="59"/>
      <c r="H955" s="52"/>
      <c r="I955" s="44"/>
      <c r="J955" s="63"/>
    </row>
    <row r="956">
      <c r="B956" s="50"/>
      <c r="C956" s="59"/>
      <c r="H956" s="52"/>
      <c r="I956" s="44"/>
      <c r="J956" s="63"/>
    </row>
    <row r="957">
      <c r="B957" s="50"/>
      <c r="C957" s="59"/>
      <c r="H957" s="52"/>
      <c r="I957" s="44"/>
      <c r="J957" s="63"/>
    </row>
    <row r="958">
      <c r="B958" s="50"/>
      <c r="C958" s="59"/>
      <c r="H958" s="52"/>
      <c r="I958" s="44"/>
      <c r="J958" s="63"/>
    </row>
    <row r="959">
      <c r="B959" s="50"/>
      <c r="C959" s="59"/>
      <c r="H959" s="52"/>
      <c r="I959" s="44"/>
      <c r="J959" s="63"/>
    </row>
    <row r="960">
      <c r="B960" s="50"/>
      <c r="C960" s="59"/>
      <c r="H960" s="52"/>
      <c r="I960" s="44"/>
      <c r="J960" s="63"/>
    </row>
    <row r="961">
      <c r="B961" s="50"/>
      <c r="C961" s="59"/>
      <c r="H961" s="52"/>
      <c r="I961" s="44"/>
      <c r="J961" s="63"/>
    </row>
    <row r="962">
      <c r="B962" s="50"/>
      <c r="C962" s="59"/>
      <c r="H962" s="52"/>
      <c r="I962" s="44"/>
      <c r="J962" s="63"/>
    </row>
    <row r="963">
      <c r="B963" s="50"/>
      <c r="C963" s="59"/>
      <c r="H963" s="52"/>
      <c r="I963" s="44"/>
      <c r="J963" s="63"/>
    </row>
    <row r="964">
      <c r="B964" s="50"/>
      <c r="C964" s="59"/>
      <c r="H964" s="52"/>
      <c r="I964" s="44"/>
      <c r="J964" s="63"/>
    </row>
    <row r="965">
      <c r="B965" s="50"/>
      <c r="C965" s="59"/>
      <c r="H965" s="52"/>
      <c r="I965" s="44"/>
      <c r="J965" s="63"/>
    </row>
    <row r="966">
      <c r="B966" s="50"/>
      <c r="C966" s="59"/>
      <c r="H966" s="52"/>
      <c r="I966" s="44"/>
      <c r="J966" s="63"/>
    </row>
    <row r="967">
      <c r="B967" s="50"/>
      <c r="C967" s="59"/>
      <c r="H967" s="52"/>
      <c r="I967" s="44"/>
      <c r="J967" s="63"/>
    </row>
    <row r="968">
      <c r="B968" s="50"/>
      <c r="C968" s="59"/>
      <c r="H968" s="52"/>
      <c r="I968" s="44"/>
      <c r="J968" s="63"/>
    </row>
    <row r="969">
      <c r="B969" s="50"/>
      <c r="C969" s="59"/>
      <c r="H969" s="52"/>
      <c r="I969" s="44"/>
      <c r="J969" s="63"/>
    </row>
    <row r="970">
      <c r="B970" s="50"/>
      <c r="C970" s="59"/>
      <c r="H970" s="52"/>
      <c r="I970" s="44"/>
      <c r="J970" s="63"/>
    </row>
    <row r="971">
      <c r="B971" s="50"/>
      <c r="C971" s="59"/>
      <c r="H971" s="52"/>
      <c r="I971" s="44"/>
      <c r="J971" s="63"/>
    </row>
    <row r="972">
      <c r="B972" s="50"/>
      <c r="C972" s="59"/>
      <c r="H972" s="52"/>
      <c r="I972" s="44"/>
      <c r="J972" s="63"/>
    </row>
    <row r="973">
      <c r="B973" s="50"/>
      <c r="C973" s="59"/>
      <c r="H973" s="52"/>
      <c r="I973" s="44"/>
      <c r="J973" s="63"/>
    </row>
    <row r="974">
      <c r="B974" s="50"/>
      <c r="C974" s="59"/>
      <c r="H974" s="52"/>
      <c r="I974" s="44"/>
      <c r="J974" s="63"/>
    </row>
    <row r="975">
      <c r="B975" s="50"/>
      <c r="C975" s="59"/>
      <c r="H975" s="52"/>
      <c r="I975" s="44"/>
      <c r="J975" s="63"/>
    </row>
    <row r="976">
      <c r="B976" s="50"/>
      <c r="C976" s="59"/>
      <c r="H976" s="52"/>
      <c r="I976" s="44"/>
      <c r="J976" s="63"/>
    </row>
    <row r="977">
      <c r="B977" s="50"/>
      <c r="C977" s="59"/>
      <c r="H977" s="52"/>
      <c r="I977" s="44"/>
      <c r="J977" s="63"/>
    </row>
    <row r="978">
      <c r="B978" s="50"/>
      <c r="C978" s="59"/>
      <c r="H978" s="52"/>
      <c r="I978" s="44"/>
      <c r="J978" s="63"/>
    </row>
    <row r="979">
      <c r="B979" s="50"/>
      <c r="C979" s="59"/>
      <c r="H979" s="52"/>
      <c r="I979" s="44"/>
      <c r="J979" s="63"/>
    </row>
    <row r="980">
      <c r="B980" s="50"/>
      <c r="C980" s="59"/>
      <c r="H980" s="52"/>
      <c r="I980" s="44"/>
      <c r="J980" s="63"/>
    </row>
    <row r="981">
      <c r="B981" s="50"/>
      <c r="C981" s="59"/>
      <c r="H981" s="52"/>
      <c r="I981" s="44"/>
      <c r="J981" s="63"/>
    </row>
    <row r="982">
      <c r="B982" s="50"/>
      <c r="C982" s="59"/>
      <c r="H982" s="52"/>
      <c r="I982" s="44"/>
      <c r="J982" s="63"/>
    </row>
    <row r="983">
      <c r="B983" s="50"/>
      <c r="C983" s="59"/>
      <c r="H983" s="52"/>
      <c r="I983" s="44"/>
      <c r="J983" s="63"/>
    </row>
    <row r="984">
      <c r="B984" s="50"/>
      <c r="C984" s="59"/>
      <c r="H984" s="52"/>
      <c r="I984" s="44"/>
      <c r="J984" s="63"/>
    </row>
    <row r="985">
      <c r="B985" s="50"/>
      <c r="C985" s="59"/>
      <c r="H985" s="52"/>
      <c r="I985" s="44"/>
      <c r="J985" s="63"/>
    </row>
    <row r="986">
      <c r="B986" s="50"/>
      <c r="C986" s="59"/>
      <c r="H986" s="52"/>
      <c r="I986" s="44"/>
      <c r="J986" s="63"/>
    </row>
    <row r="987">
      <c r="B987" s="50"/>
      <c r="C987" s="59"/>
      <c r="H987" s="52"/>
      <c r="I987" s="44"/>
      <c r="J987" s="63"/>
    </row>
    <row r="988">
      <c r="B988" s="50"/>
      <c r="C988" s="59"/>
      <c r="H988" s="52"/>
      <c r="I988" s="44"/>
      <c r="J988" s="63"/>
    </row>
    <row r="989">
      <c r="B989" s="50"/>
      <c r="C989" s="59"/>
      <c r="H989" s="52"/>
      <c r="I989" s="44"/>
      <c r="J989" s="63"/>
    </row>
    <row r="990">
      <c r="B990" s="50"/>
      <c r="C990" s="59"/>
      <c r="H990" s="52"/>
      <c r="I990" s="44"/>
      <c r="J990" s="63"/>
    </row>
    <row r="991">
      <c r="B991" s="50"/>
      <c r="C991" s="59"/>
      <c r="H991" s="52"/>
      <c r="I991" s="44"/>
      <c r="J991" s="63"/>
    </row>
    <row r="992">
      <c r="B992" s="50"/>
      <c r="C992" s="59"/>
      <c r="H992" s="52"/>
      <c r="I992" s="44"/>
      <c r="J992" s="63"/>
    </row>
    <row r="993">
      <c r="B993" s="50"/>
      <c r="C993" s="59"/>
      <c r="H993" s="52"/>
      <c r="I993" s="44"/>
      <c r="J993" s="63"/>
    </row>
    <row r="994">
      <c r="B994" s="50"/>
      <c r="C994" s="59"/>
      <c r="H994" s="52"/>
      <c r="I994" s="44"/>
      <c r="J994" s="63"/>
    </row>
    <row r="995">
      <c r="B995" s="50"/>
      <c r="C995" s="59"/>
      <c r="H995" s="52"/>
      <c r="I995" s="44"/>
      <c r="J995" s="63"/>
    </row>
    <row r="996">
      <c r="B996" s="50"/>
      <c r="C996" s="59"/>
      <c r="H996" s="52"/>
      <c r="I996" s="44"/>
      <c r="J996" s="63"/>
    </row>
    <row r="997">
      <c r="B997" s="50"/>
      <c r="C997" s="59"/>
      <c r="H997" s="52"/>
      <c r="I997" s="44"/>
      <c r="J997" s="63"/>
    </row>
    <row r="998">
      <c r="B998" s="50"/>
      <c r="C998" s="59"/>
      <c r="H998" s="52"/>
      <c r="I998" s="44"/>
      <c r="J998" s="63"/>
    </row>
    <row r="999">
      <c r="B999" s="50"/>
      <c r="C999" s="59"/>
      <c r="H999" s="52"/>
      <c r="I999" s="44"/>
      <c r="J999" s="63"/>
    </row>
    <row r="1000">
      <c r="B1000" s="50"/>
      <c r="C1000" s="59"/>
      <c r="H1000" s="52"/>
      <c r="I1000" s="44"/>
      <c r="J1000" s="63"/>
    </row>
  </sheetData>
  <mergeCells count="1">
    <mergeCell ref="I77:I83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</cols>
  <sheetData>
    <row r="1">
      <c r="C1" s="51" t="s">
        <v>43</v>
      </c>
      <c r="E1" s="38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22" t="s">
        <v>43</v>
      </c>
      <c r="J1" s="20" t="s">
        <v>44</v>
      </c>
      <c r="K1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</row>
    <row r="2">
      <c r="C2" s="59">
        <f t="shared" ref="C2:C73" si="1">B2-$B$74</f>
        <v>0.01732322455</v>
      </c>
      <c r="E2" s="36">
        <v>40745.0</v>
      </c>
      <c r="F2" t="str">
        <f t="shared" ref="F2:F270" si="2">TEXT(E2, "YYYY-MM")</f>
        <v>2011-07</v>
      </c>
      <c r="G2" s="55" t="str">
        <f>IFERROR(__xludf.DUMMYFUNCTION("""COMPUTED_VALUE"""),"2011-06")</f>
        <v>2011-06</v>
      </c>
      <c r="H2" s="52">
        <f>IFERROR(__xludf.DUMMYFUNCTION("""COMPUTED_VALUE"""),1.0)</f>
        <v>1</v>
      </c>
      <c r="I2" s="44"/>
      <c r="J2" s="45">
        <v>0.0</v>
      </c>
      <c r="K2" t="str">
        <f>IFERROR(__xludf.DUMMYFUNCTION("""COMPUTED_VALUE"""),"2011-06")</f>
        <v>2011-06</v>
      </c>
      <c r="L2">
        <f>IFERROR(__xludf.DUMMYFUNCTION("""COMPUTED_VALUE"""),110.0)</f>
        <v>110</v>
      </c>
    </row>
    <row r="3">
      <c r="C3" s="59">
        <f t="shared" si="1"/>
        <v>-0.01723892112</v>
      </c>
      <c r="E3" s="36">
        <v>40766.0</v>
      </c>
      <c r="F3" t="str">
        <f t="shared" si="2"/>
        <v>2011-08</v>
      </c>
      <c r="G3" t="str">
        <f>IFERROR(__xludf.DUMMYFUNCTION("""COMPUTED_VALUE"""),"2011-07")</f>
        <v>2011-07</v>
      </c>
      <c r="H3" s="52">
        <f>IFERROR(__xludf.DUMMYFUNCTION("""COMPUTED_VALUE"""),2.0)</f>
        <v>2</v>
      </c>
      <c r="I3" s="44" t="str">
        <f t="shared" ref="I3:I68" si="3">LOOKUP(G3, $A$1:A$73,$C$1:$C$73)</f>
        <v>#N/A</v>
      </c>
      <c r="J3" s="45">
        <v>110.0</v>
      </c>
      <c r="K3" t="str">
        <f>IFERROR(__xludf.DUMMYFUNCTION("""COMPUTED_VALUE"""),"2011-07")</f>
        <v>2011-07</v>
      </c>
      <c r="L3">
        <f>IFERROR(__xludf.DUMMYFUNCTION("""COMPUTED_VALUE"""),307.0)</f>
        <v>307</v>
      </c>
    </row>
    <row r="4">
      <c r="C4" s="59">
        <f t="shared" si="1"/>
        <v>-0.02681389286</v>
      </c>
      <c r="E4" s="36">
        <v>40889.0</v>
      </c>
      <c r="F4" t="str">
        <f t="shared" si="2"/>
        <v>2011-12</v>
      </c>
      <c r="G4" t="str">
        <f>IFERROR(__xludf.DUMMYFUNCTION("""COMPUTED_VALUE"""),"2011-08")</f>
        <v>2011-08</v>
      </c>
      <c r="H4" s="52">
        <f>IFERROR(__xludf.DUMMYFUNCTION("""COMPUTED_VALUE"""),2.0)</f>
        <v>2</v>
      </c>
      <c r="I4" s="44" t="str">
        <f t="shared" si="3"/>
        <v>#N/A</v>
      </c>
      <c r="J4" s="45">
        <v>216.0</v>
      </c>
      <c r="K4" t="str">
        <f>IFERROR(__xludf.DUMMYFUNCTION("""COMPUTED_VALUE"""),"2011-08")</f>
        <v>2011-08</v>
      </c>
      <c r="L4">
        <f>IFERROR(__xludf.DUMMYFUNCTION("""COMPUTED_VALUE"""),110.0)</f>
        <v>110</v>
      </c>
    </row>
    <row r="5">
      <c r="C5" s="59">
        <f t="shared" si="1"/>
        <v>0.00391397193</v>
      </c>
      <c r="E5" s="36">
        <v>40891.0</v>
      </c>
      <c r="F5" t="str">
        <f t="shared" si="2"/>
        <v>2011-12</v>
      </c>
      <c r="G5" t="str">
        <f>IFERROR(__xludf.DUMMYFUNCTION("""COMPUTED_VALUE"""),"2011-12")</f>
        <v>2011-12</v>
      </c>
      <c r="H5" s="52">
        <f>IFERROR(__xludf.DUMMYFUNCTION("""COMPUTED_VALUE"""),4.0)</f>
        <v>4</v>
      </c>
      <c r="I5" s="44">
        <f t="shared" si="3"/>
        <v>0.01732322455</v>
      </c>
      <c r="J5" s="45">
        <v>37.0</v>
      </c>
      <c r="K5" t="str">
        <f>IFERROR(__xludf.DUMMYFUNCTION("""COMPUTED_VALUE"""),"2011-12")</f>
        <v>2011-12</v>
      </c>
      <c r="L5">
        <f>IFERROR(__xludf.DUMMYFUNCTION("""COMPUTED_VALUE"""),275.0)</f>
        <v>275</v>
      </c>
    </row>
    <row r="6">
      <c r="C6" s="59">
        <f t="shared" si="1"/>
        <v>-0.01774652899</v>
      </c>
      <c r="E6" s="36">
        <v>40893.0</v>
      </c>
      <c r="F6" t="str">
        <f t="shared" si="2"/>
        <v>2011-12</v>
      </c>
      <c r="G6" t="str">
        <f>IFERROR(__xludf.DUMMYFUNCTION("""COMPUTED_VALUE"""),"2012-01")</f>
        <v>2012-01</v>
      </c>
      <c r="H6" s="52">
        <f>IFERROR(__xludf.DUMMYFUNCTION("""COMPUTED_VALUE"""),1.0)</f>
        <v>1</v>
      </c>
      <c r="I6" s="44">
        <f t="shared" si="3"/>
        <v>-0.01723892112</v>
      </c>
      <c r="J6" s="45">
        <v>15.0</v>
      </c>
      <c r="K6" t="str">
        <f>IFERROR(__xludf.DUMMYFUNCTION("""COMPUTED_VALUE"""),"2012-01")</f>
        <v>2012-01</v>
      </c>
      <c r="L6">
        <f>IFERROR(__xludf.DUMMYFUNCTION("""COMPUTED_VALUE"""),200.0)</f>
        <v>200</v>
      </c>
    </row>
    <row r="7">
      <c r="C7" s="59">
        <f t="shared" si="1"/>
        <v>-0.001011804964</v>
      </c>
      <c r="E7" s="36">
        <v>40897.0</v>
      </c>
      <c r="F7" t="str">
        <f t="shared" si="2"/>
        <v>2011-12</v>
      </c>
      <c r="G7" t="str">
        <f>IFERROR(__xludf.DUMMYFUNCTION("""COMPUTED_VALUE"""),"2012-02")</f>
        <v>2012-02</v>
      </c>
      <c r="H7" s="52">
        <f>IFERROR(__xludf.DUMMYFUNCTION("""COMPUTED_VALUE"""),1.0)</f>
        <v>1</v>
      </c>
      <c r="I7" s="44">
        <f t="shared" si="3"/>
        <v>-0.02681389286</v>
      </c>
      <c r="J7" s="45">
        <v>7.0</v>
      </c>
      <c r="K7" t="str">
        <f>IFERROR(__xludf.DUMMYFUNCTION("""COMPUTED_VALUE"""),"2012-02")</f>
        <v>2012-02</v>
      </c>
      <c r="L7">
        <f>IFERROR(__xludf.DUMMYFUNCTION("""COMPUTED_VALUE"""),65.0)</f>
        <v>65</v>
      </c>
    </row>
    <row r="8">
      <c r="C8" s="59">
        <f t="shared" si="1"/>
        <v>-0.02421539326</v>
      </c>
      <c r="E8" s="36">
        <v>40931.0</v>
      </c>
      <c r="F8" t="str">
        <f t="shared" si="2"/>
        <v>2012-01</v>
      </c>
      <c r="G8" t="str">
        <f>IFERROR(__xludf.DUMMYFUNCTION("""COMPUTED_VALUE"""),"2012-03")</f>
        <v>2012-03</v>
      </c>
      <c r="H8" s="52">
        <f>IFERROR(__xludf.DUMMYFUNCTION("""COMPUTED_VALUE"""),1.0)</f>
        <v>1</v>
      </c>
      <c r="I8" s="44">
        <f t="shared" si="3"/>
        <v>0.00391397193</v>
      </c>
      <c r="J8" s="45">
        <v>200.0</v>
      </c>
      <c r="K8" t="str">
        <f>IFERROR(__xludf.DUMMYFUNCTION("""COMPUTED_VALUE"""),"2012-03")</f>
        <v>2012-03</v>
      </c>
      <c r="L8">
        <f>IFERROR(__xludf.DUMMYFUNCTION("""COMPUTED_VALUE"""),252.0)</f>
        <v>252</v>
      </c>
    </row>
    <row r="9">
      <c r="C9" s="59">
        <f t="shared" si="1"/>
        <v>-0.06370641514</v>
      </c>
      <c r="E9" s="36">
        <v>40956.0</v>
      </c>
      <c r="F9" t="str">
        <f t="shared" si="2"/>
        <v>2012-02</v>
      </c>
      <c r="G9" t="str">
        <f>IFERROR(__xludf.DUMMYFUNCTION("""COMPUTED_VALUE"""),"2012-04")</f>
        <v>2012-04</v>
      </c>
      <c r="H9" s="52">
        <f>IFERROR(__xludf.DUMMYFUNCTION("""COMPUTED_VALUE"""),2.0)</f>
        <v>2</v>
      </c>
      <c r="I9" s="44">
        <f t="shared" si="3"/>
        <v>-0.01774652899</v>
      </c>
      <c r="J9" s="45">
        <v>65.0</v>
      </c>
      <c r="K9" t="str">
        <f>IFERROR(__xludf.DUMMYFUNCTION("""COMPUTED_VALUE"""),"2012-04")</f>
        <v>2012-04</v>
      </c>
      <c r="L9">
        <f>IFERROR(__xludf.DUMMYFUNCTION("""COMPUTED_VALUE"""),81.0)</f>
        <v>81</v>
      </c>
    </row>
    <row r="10">
      <c r="C10" s="59">
        <f t="shared" si="1"/>
        <v>-0.04538229526</v>
      </c>
      <c r="E10" s="36">
        <v>40999.0</v>
      </c>
      <c r="F10" t="str">
        <f t="shared" si="2"/>
        <v>2012-03</v>
      </c>
      <c r="G10" t="str">
        <f>IFERROR(__xludf.DUMMYFUNCTION("""COMPUTED_VALUE"""),"2012-05")</f>
        <v>2012-05</v>
      </c>
      <c r="H10" s="52">
        <f>IFERROR(__xludf.DUMMYFUNCTION("""COMPUTED_VALUE"""),2.0)</f>
        <v>2</v>
      </c>
      <c r="I10" s="44">
        <f t="shared" si="3"/>
        <v>-0.001011804964</v>
      </c>
      <c r="J10" s="45">
        <v>252.0</v>
      </c>
      <c r="K10" t="str">
        <f>IFERROR(__xludf.DUMMYFUNCTION("""COMPUTED_VALUE"""),"2012-05")</f>
        <v>2012-05</v>
      </c>
      <c r="L10">
        <f>IFERROR(__xludf.DUMMYFUNCTION("""COMPUTED_VALUE"""),192.0)</f>
        <v>192</v>
      </c>
    </row>
    <row r="11">
      <c r="C11" s="59">
        <f t="shared" si="1"/>
        <v>0.05908098357</v>
      </c>
      <c r="E11" s="36">
        <v>41017.0</v>
      </c>
      <c r="F11" t="str">
        <f t="shared" si="2"/>
        <v>2012-04</v>
      </c>
      <c r="G11" t="str">
        <f>IFERROR(__xludf.DUMMYFUNCTION("""COMPUTED_VALUE"""),"2012-08")</f>
        <v>2012-08</v>
      </c>
      <c r="H11" s="52">
        <f>IFERROR(__xludf.DUMMYFUNCTION("""COMPUTED_VALUE"""),1.0)</f>
        <v>1</v>
      </c>
      <c r="I11" s="44">
        <f t="shared" si="3"/>
        <v>-0.04538229526</v>
      </c>
      <c r="J11" s="45">
        <v>75.0</v>
      </c>
      <c r="K11" t="str">
        <f>IFERROR(__xludf.DUMMYFUNCTION("""COMPUTED_VALUE"""),"2012-08")</f>
        <v>2012-08</v>
      </c>
      <c r="L11">
        <f>IFERROR(__xludf.DUMMYFUNCTION("""COMPUTED_VALUE"""),688.0)</f>
        <v>688</v>
      </c>
    </row>
    <row r="12">
      <c r="C12" s="59">
        <f t="shared" si="1"/>
        <v>0.009078971531</v>
      </c>
      <c r="E12" s="36">
        <v>41018.0</v>
      </c>
      <c r="F12" t="str">
        <f t="shared" si="2"/>
        <v>2012-04</v>
      </c>
      <c r="G12" t="str">
        <f>IFERROR(__xludf.DUMMYFUNCTION("""COMPUTED_VALUE"""),"2012-10")</f>
        <v>2012-10</v>
      </c>
      <c r="H12" s="52">
        <f>IFERROR(__xludf.DUMMYFUNCTION("""COMPUTED_VALUE"""),1.0)</f>
        <v>1</v>
      </c>
      <c r="I12" s="44">
        <f t="shared" si="3"/>
        <v>0.009078971531</v>
      </c>
      <c r="J12" s="45">
        <v>6.0</v>
      </c>
      <c r="K12" t="str">
        <f>IFERROR(__xludf.DUMMYFUNCTION("""COMPUTED_VALUE"""),"2012-10")</f>
        <v>2012-10</v>
      </c>
      <c r="L12">
        <f>IFERROR(__xludf.DUMMYFUNCTION("""COMPUTED_VALUE"""),275.0)</f>
        <v>275</v>
      </c>
    </row>
    <row r="13">
      <c r="C13" s="59">
        <f t="shared" si="1"/>
        <v>0.009298621016</v>
      </c>
      <c r="E13" s="36">
        <v>41050.0</v>
      </c>
      <c r="F13" t="str">
        <f t="shared" si="2"/>
        <v>2012-05</v>
      </c>
      <c r="G13" t="str">
        <f>IFERROR(__xludf.DUMMYFUNCTION("""COMPUTED_VALUE"""),"2013-01")</f>
        <v>2013-01</v>
      </c>
      <c r="H13" s="52">
        <f>IFERROR(__xludf.DUMMYFUNCTION("""COMPUTED_VALUE"""),2.0)</f>
        <v>2</v>
      </c>
      <c r="I13" s="44">
        <f t="shared" si="3"/>
        <v>-0.0218661185</v>
      </c>
      <c r="J13" s="45">
        <v>175.0</v>
      </c>
      <c r="K13" t="str">
        <f>IFERROR(__xludf.DUMMYFUNCTION("""COMPUTED_VALUE"""),"2013-01")</f>
        <v>2013-01</v>
      </c>
      <c r="L13">
        <f>IFERROR(__xludf.DUMMYFUNCTION("""COMPUTED_VALUE"""),447.0)</f>
        <v>447</v>
      </c>
    </row>
    <row r="14">
      <c r="C14" s="59">
        <f t="shared" si="1"/>
        <v>-0.01876536278</v>
      </c>
      <c r="E14" s="36">
        <v>41051.0</v>
      </c>
      <c r="F14" t="str">
        <f t="shared" si="2"/>
        <v>2012-05</v>
      </c>
      <c r="G14" t="str">
        <f>IFERROR(__xludf.DUMMYFUNCTION("""COMPUTED_VALUE"""),"2013-02")</f>
        <v>2013-02</v>
      </c>
      <c r="H14" s="52">
        <f>IFERROR(__xludf.DUMMYFUNCTION("""COMPUTED_VALUE"""),1.0)</f>
        <v>1</v>
      </c>
      <c r="I14" s="44">
        <f t="shared" si="3"/>
        <v>-0.02548341243</v>
      </c>
      <c r="J14" s="45">
        <v>17.0</v>
      </c>
      <c r="K14" t="str">
        <f>IFERROR(__xludf.DUMMYFUNCTION("""COMPUTED_VALUE"""),"2013-02")</f>
        <v>2013-02</v>
      </c>
      <c r="L14">
        <f>IFERROR(__xludf.DUMMYFUNCTION("""COMPUTED_VALUE"""),230.0)</f>
        <v>230</v>
      </c>
    </row>
    <row r="15">
      <c r="C15" s="59">
        <f t="shared" si="1"/>
        <v>-0.0218661185</v>
      </c>
      <c r="E15" s="36">
        <v>41124.0</v>
      </c>
      <c r="F15" t="str">
        <f t="shared" si="2"/>
        <v>2012-08</v>
      </c>
      <c r="G15" t="str">
        <f>IFERROR(__xludf.DUMMYFUNCTION("""COMPUTED_VALUE"""),"2013-03")</f>
        <v>2013-03</v>
      </c>
      <c r="H15" s="52">
        <f>IFERROR(__xludf.DUMMYFUNCTION("""COMPUTED_VALUE"""),1.0)</f>
        <v>1</v>
      </c>
      <c r="I15" s="44">
        <f t="shared" si="3"/>
        <v>-0.0563962777</v>
      </c>
      <c r="J15" s="45">
        <v>688.0</v>
      </c>
      <c r="K15" t="str">
        <f>IFERROR(__xludf.DUMMYFUNCTION("""COMPUTED_VALUE"""),"2013-03")</f>
        <v>2013-03</v>
      </c>
      <c r="L15">
        <f>IFERROR(__xludf.DUMMYFUNCTION("""COMPUTED_VALUE"""),273.0)</f>
        <v>273</v>
      </c>
    </row>
    <row r="16">
      <c r="C16" s="59">
        <f t="shared" si="1"/>
        <v>-0.02548341243</v>
      </c>
      <c r="E16" s="36">
        <v>41207.0</v>
      </c>
      <c r="F16" t="str">
        <f t="shared" si="2"/>
        <v>2012-10</v>
      </c>
      <c r="G16" t="str">
        <f>IFERROR(__xludf.DUMMYFUNCTION("""COMPUTED_VALUE"""),"2013-04")</f>
        <v>2013-04</v>
      </c>
      <c r="H16" s="52">
        <f>IFERROR(__xludf.DUMMYFUNCTION("""COMPUTED_VALUE"""),1.0)</f>
        <v>1</v>
      </c>
      <c r="I16" s="44">
        <f t="shared" si="3"/>
        <v>-0.01292310454</v>
      </c>
      <c r="J16" s="45">
        <v>275.0</v>
      </c>
      <c r="K16" t="str">
        <f>IFERROR(__xludf.DUMMYFUNCTION("""COMPUTED_VALUE"""),"2013-04")</f>
        <v>2013-04</v>
      </c>
      <c r="L16">
        <f>IFERROR(__xludf.DUMMYFUNCTION("""COMPUTED_VALUE"""),187.0)</f>
        <v>187</v>
      </c>
    </row>
    <row r="17">
      <c r="C17" s="59">
        <f t="shared" si="1"/>
        <v>-0.0563962777</v>
      </c>
      <c r="E17" s="36">
        <v>41291.0</v>
      </c>
      <c r="F17" t="str">
        <f t="shared" si="2"/>
        <v>2013-01</v>
      </c>
      <c r="G17" t="str">
        <f>IFERROR(__xludf.DUMMYFUNCTION("""COMPUTED_VALUE"""),"2013-05")</f>
        <v>2013-05</v>
      </c>
      <c r="H17" s="52">
        <f>IFERROR(__xludf.DUMMYFUNCTION("""COMPUTED_VALUE"""),2.0)</f>
        <v>2</v>
      </c>
      <c r="I17" s="44">
        <f t="shared" si="3"/>
        <v>0.01021914092</v>
      </c>
      <c r="J17" s="45">
        <v>427.0</v>
      </c>
      <c r="K17" t="str">
        <f>IFERROR(__xludf.DUMMYFUNCTION("""COMPUTED_VALUE"""),"2013-05")</f>
        <v>2013-05</v>
      </c>
      <c r="L17">
        <f>IFERROR(__xludf.DUMMYFUNCTION("""COMPUTED_VALUE"""),338.0)</f>
        <v>338</v>
      </c>
    </row>
    <row r="18">
      <c r="C18" s="59">
        <f t="shared" si="1"/>
        <v>-0.01292310454</v>
      </c>
      <c r="E18" s="36">
        <v>41292.0</v>
      </c>
      <c r="F18" t="str">
        <f t="shared" si="2"/>
        <v>2013-01</v>
      </c>
      <c r="G18" t="str">
        <f>IFERROR(__xludf.DUMMYFUNCTION("""COMPUTED_VALUE"""),"2013-06")</f>
        <v>2013-06</v>
      </c>
      <c r="H18" s="52">
        <f>IFERROR(__xludf.DUMMYFUNCTION("""COMPUTED_VALUE"""),2.0)</f>
        <v>2</v>
      </c>
      <c r="I18" s="44">
        <f t="shared" si="3"/>
        <v>-0.01955927329</v>
      </c>
      <c r="J18" s="45">
        <v>20.0</v>
      </c>
      <c r="K18" t="str">
        <f>IFERROR(__xludf.DUMMYFUNCTION("""COMPUTED_VALUE"""),"2013-06")</f>
        <v>2013-06</v>
      </c>
      <c r="L18">
        <f>IFERROR(__xludf.DUMMYFUNCTION("""COMPUTED_VALUE"""),138.0)</f>
        <v>138</v>
      </c>
    </row>
    <row r="19">
      <c r="C19" s="59">
        <f t="shared" si="1"/>
        <v>0.01021914092</v>
      </c>
      <c r="E19" s="36">
        <v>41320.0</v>
      </c>
      <c r="F19" t="str">
        <f t="shared" si="2"/>
        <v>2013-02</v>
      </c>
      <c r="G19" t="str">
        <f>IFERROR(__xludf.DUMMYFUNCTION("""COMPUTED_VALUE"""),"2013-07")</f>
        <v>2013-07</v>
      </c>
      <c r="H19" s="52">
        <f>IFERROR(__xludf.DUMMYFUNCTION("""COMPUTED_VALUE"""),6.0)</f>
        <v>6</v>
      </c>
      <c r="I19" s="44">
        <f t="shared" si="3"/>
        <v>-0.04667182408</v>
      </c>
      <c r="J19" s="45">
        <v>230.0</v>
      </c>
      <c r="K19" t="str">
        <f>IFERROR(__xludf.DUMMYFUNCTION("""COMPUTED_VALUE"""),"2013-07")</f>
        <v>2013-07</v>
      </c>
      <c r="L19">
        <f>IFERROR(__xludf.DUMMYFUNCTION("""COMPUTED_VALUE"""),5.0)</f>
        <v>5</v>
      </c>
    </row>
    <row r="20">
      <c r="C20" s="59">
        <f t="shared" si="1"/>
        <v>-0.01955927329</v>
      </c>
      <c r="E20" s="36">
        <v>41480.0</v>
      </c>
      <c r="F20" t="str">
        <f t="shared" si="2"/>
        <v>2013-07</v>
      </c>
      <c r="G20" t="str">
        <f>IFERROR(__xludf.DUMMYFUNCTION("""COMPUTED_VALUE"""),"2013-08")</f>
        <v>2013-08</v>
      </c>
      <c r="H20" s="52">
        <f>IFERROR(__xludf.DUMMYFUNCTION("""COMPUTED_VALUE"""),2.0)</f>
        <v>2</v>
      </c>
      <c r="I20" s="44">
        <f t="shared" si="3"/>
        <v>-0.03147949705</v>
      </c>
      <c r="J20" s="45">
        <v>0.0</v>
      </c>
      <c r="K20" t="str">
        <f>IFERROR(__xludf.DUMMYFUNCTION("""COMPUTED_VALUE"""),"2013-08")</f>
        <v>2013-08</v>
      </c>
      <c r="L20">
        <f>IFERROR(__xludf.DUMMYFUNCTION("""COMPUTED_VALUE"""),505.0)</f>
        <v>505</v>
      </c>
    </row>
    <row r="21">
      <c r="C21" s="59">
        <f t="shared" si="1"/>
        <v>-0.04667182408</v>
      </c>
      <c r="E21" s="36">
        <v>41362.0</v>
      </c>
      <c r="F21" t="str">
        <f t="shared" si="2"/>
        <v>2013-03</v>
      </c>
      <c r="G21" t="str">
        <f>IFERROR(__xludf.DUMMYFUNCTION("""COMPUTED_VALUE"""),"2013-09")</f>
        <v>2013-09</v>
      </c>
      <c r="H21" s="52">
        <f>IFERROR(__xludf.DUMMYFUNCTION("""COMPUTED_VALUE"""),3.0)</f>
        <v>3</v>
      </c>
      <c r="I21" s="44">
        <f t="shared" si="3"/>
        <v>-0.01437176001</v>
      </c>
      <c r="J21" s="45">
        <v>273.0</v>
      </c>
      <c r="K21" t="str">
        <f>IFERROR(__xludf.DUMMYFUNCTION("""COMPUTED_VALUE"""),"2013-09")</f>
        <v>2013-09</v>
      </c>
      <c r="L21">
        <f>IFERROR(__xludf.DUMMYFUNCTION("""COMPUTED_VALUE"""),187.0)</f>
        <v>187</v>
      </c>
    </row>
    <row r="22">
      <c r="C22" s="59">
        <f t="shared" si="1"/>
        <v>-0.03147949705</v>
      </c>
      <c r="E22" s="36">
        <v>41480.0</v>
      </c>
      <c r="F22" t="str">
        <f t="shared" si="2"/>
        <v>2013-07</v>
      </c>
      <c r="G22" t="str">
        <f>IFERROR(__xludf.DUMMYFUNCTION("""COMPUTED_VALUE"""),"2013-10")</f>
        <v>2013-10</v>
      </c>
      <c r="H22" s="52">
        <f>IFERROR(__xludf.DUMMYFUNCTION("""COMPUTED_VALUE"""),7.0)</f>
        <v>7</v>
      </c>
      <c r="I22" s="44">
        <f t="shared" si="3"/>
        <v>-0.04755444194</v>
      </c>
      <c r="J22" s="45">
        <v>0.0</v>
      </c>
      <c r="K22" t="str">
        <f>IFERROR(__xludf.DUMMYFUNCTION("""COMPUTED_VALUE"""),"2013-10")</f>
        <v>2013-10</v>
      </c>
      <c r="L22">
        <f>IFERROR(__xludf.DUMMYFUNCTION("""COMPUTED_VALUE"""),275.0)</f>
        <v>275</v>
      </c>
    </row>
    <row r="23">
      <c r="C23" s="59">
        <f t="shared" si="1"/>
        <v>-0.01437176001</v>
      </c>
      <c r="E23" s="36">
        <v>41385.0</v>
      </c>
      <c r="F23" t="str">
        <f t="shared" si="2"/>
        <v>2013-04</v>
      </c>
      <c r="G23" t="str">
        <f>IFERROR(__xludf.DUMMYFUNCTION("""COMPUTED_VALUE"""),"2013-11")</f>
        <v>2013-11</v>
      </c>
      <c r="H23" s="52">
        <f>IFERROR(__xludf.DUMMYFUNCTION("""COMPUTED_VALUE"""),4.0)</f>
        <v>4</v>
      </c>
      <c r="I23" s="44">
        <f t="shared" si="3"/>
        <v>0.01757376605</v>
      </c>
      <c r="J23" s="45">
        <v>187.0</v>
      </c>
      <c r="K23" t="str">
        <f>IFERROR(__xludf.DUMMYFUNCTION("""COMPUTED_VALUE"""),"2013-11")</f>
        <v>2013-11</v>
      </c>
      <c r="L23">
        <f>IFERROR(__xludf.DUMMYFUNCTION("""COMPUTED_VALUE"""),175.0)</f>
        <v>175</v>
      </c>
    </row>
    <row r="24">
      <c r="C24" s="59">
        <f t="shared" si="1"/>
        <v>-0.04755444194</v>
      </c>
      <c r="E24" s="36">
        <v>41480.0</v>
      </c>
      <c r="F24" t="str">
        <f t="shared" si="2"/>
        <v>2013-07</v>
      </c>
      <c r="G24" t="str">
        <f>IFERROR(__xludf.DUMMYFUNCTION("""COMPUTED_VALUE"""),"2013-12")</f>
        <v>2013-12</v>
      </c>
      <c r="H24" s="52">
        <f>IFERROR(__xludf.DUMMYFUNCTION("""COMPUTED_VALUE"""),3.0)</f>
        <v>3</v>
      </c>
      <c r="I24" s="44">
        <f t="shared" si="3"/>
        <v>0.0105670655</v>
      </c>
      <c r="J24" s="45">
        <v>0.0</v>
      </c>
      <c r="K24" t="str">
        <f>IFERROR(__xludf.DUMMYFUNCTION("""COMPUTED_VALUE"""),"2013-12")</f>
        <v>2013-12</v>
      </c>
      <c r="L24">
        <f>IFERROR(__xludf.DUMMYFUNCTION("""COMPUTED_VALUE"""),1.0)</f>
        <v>1</v>
      </c>
    </row>
    <row r="25">
      <c r="C25" s="59">
        <f t="shared" si="1"/>
        <v>0.01757376605</v>
      </c>
      <c r="E25" s="36">
        <v>41422.0</v>
      </c>
      <c r="F25" t="str">
        <f t="shared" si="2"/>
        <v>2013-05</v>
      </c>
      <c r="G25" t="str">
        <f>IFERROR(__xludf.DUMMYFUNCTION("""COMPUTED_VALUE"""),"2014-01")</f>
        <v>2014-01</v>
      </c>
      <c r="H25" s="52">
        <f>IFERROR(__xludf.DUMMYFUNCTION("""COMPUTED_VALUE"""),9.0)</f>
        <v>9</v>
      </c>
      <c r="I25" s="44">
        <f t="shared" si="3"/>
        <v>-0.004028248821</v>
      </c>
      <c r="J25" s="45">
        <v>338.0</v>
      </c>
      <c r="K25" t="str">
        <f>IFERROR(__xludf.DUMMYFUNCTION("""COMPUTED_VALUE"""),"2014-01")</f>
        <v>2014-01</v>
      </c>
      <c r="L25">
        <f>IFERROR(__xludf.DUMMYFUNCTION("""COMPUTED_VALUE"""),362.0)</f>
        <v>362</v>
      </c>
    </row>
    <row r="26">
      <c r="C26" s="59">
        <f t="shared" si="1"/>
        <v>0.0105670655</v>
      </c>
      <c r="E26" s="36">
        <v>41421.0</v>
      </c>
      <c r="F26" t="str">
        <f t="shared" si="2"/>
        <v>2013-05</v>
      </c>
      <c r="G26" t="str">
        <f>IFERROR(__xludf.DUMMYFUNCTION("""COMPUTED_VALUE"""),"2014-02")</f>
        <v>2014-02</v>
      </c>
      <c r="H26" s="52">
        <f>IFERROR(__xludf.DUMMYFUNCTION("""COMPUTED_VALUE"""),7.0)</f>
        <v>7</v>
      </c>
      <c r="I26" s="44">
        <f t="shared" si="3"/>
        <v>-0.1266480057</v>
      </c>
      <c r="J26" s="45">
        <v>0.0</v>
      </c>
      <c r="K26" t="str">
        <f>IFERROR(__xludf.DUMMYFUNCTION("""COMPUTED_VALUE"""),"2014-02")</f>
        <v>2014-02</v>
      </c>
      <c r="L26">
        <f>IFERROR(__xludf.DUMMYFUNCTION("""COMPUTED_VALUE"""),272.0)</f>
        <v>272</v>
      </c>
    </row>
    <row r="27">
      <c r="C27" s="59">
        <f t="shared" si="1"/>
        <v>-0.004028248821</v>
      </c>
      <c r="E27" s="36">
        <v>41480.0</v>
      </c>
      <c r="F27" t="str">
        <f t="shared" si="2"/>
        <v>2013-07</v>
      </c>
      <c r="G27" t="str">
        <f>IFERROR(__xludf.DUMMYFUNCTION("""COMPUTED_VALUE"""),"2014-03")</f>
        <v>2014-03</v>
      </c>
      <c r="H27" s="52">
        <f>IFERROR(__xludf.DUMMYFUNCTION("""COMPUTED_VALUE"""),3.0)</f>
        <v>3</v>
      </c>
      <c r="I27" s="44">
        <f t="shared" si="3"/>
        <v>0.03581382664</v>
      </c>
      <c r="J27" s="45">
        <v>5.0</v>
      </c>
      <c r="K27" t="str">
        <f>IFERROR(__xludf.DUMMYFUNCTION("""COMPUTED_VALUE"""),"2014-03")</f>
        <v>2014-03</v>
      </c>
      <c r="L27">
        <f>IFERROR(__xludf.DUMMYFUNCTION("""COMPUTED_VALUE"""),0.0)</f>
        <v>0</v>
      </c>
    </row>
    <row r="28">
      <c r="C28" s="59">
        <f t="shared" si="1"/>
        <v>-0.1266480057</v>
      </c>
      <c r="E28" s="36">
        <v>41426.0</v>
      </c>
      <c r="F28" t="str">
        <f t="shared" si="2"/>
        <v>2013-06</v>
      </c>
      <c r="G28" t="str">
        <f>IFERROR(__xludf.DUMMYFUNCTION("""COMPUTED_VALUE"""),"2014-04")</f>
        <v>2014-04</v>
      </c>
      <c r="H28" s="52">
        <f>IFERROR(__xludf.DUMMYFUNCTION("""COMPUTED_VALUE"""),4.0)</f>
        <v>4</v>
      </c>
      <c r="I28" s="44">
        <f t="shared" si="3"/>
        <v>-0.06106104969</v>
      </c>
      <c r="J28" s="45">
        <v>24.0</v>
      </c>
      <c r="K28" t="str">
        <f>IFERROR(__xludf.DUMMYFUNCTION("""COMPUTED_VALUE"""),"2014-04")</f>
        <v>2014-04</v>
      </c>
      <c r="L28">
        <f>IFERROR(__xludf.DUMMYFUNCTION("""COMPUTED_VALUE"""),256.0)</f>
        <v>256</v>
      </c>
    </row>
    <row r="29">
      <c r="C29" s="59">
        <f t="shared" si="1"/>
        <v>0.03581382664</v>
      </c>
      <c r="E29" s="36">
        <v>41480.0</v>
      </c>
      <c r="F29" t="str">
        <f t="shared" si="2"/>
        <v>2013-07</v>
      </c>
      <c r="G29" t="str">
        <f>IFERROR(__xludf.DUMMYFUNCTION("""COMPUTED_VALUE"""),"2014-05")</f>
        <v>2014-05</v>
      </c>
      <c r="H29" s="52">
        <f>IFERROR(__xludf.DUMMYFUNCTION("""COMPUTED_VALUE"""),2.0)</f>
        <v>2</v>
      </c>
      <c r="I29" s="44">
        <f t="shared" si="3"/>
        <v>0.01082189707</v>
      </c>
      <c r="J29" s="45">
        <v>0.0</v>
      </c>
      <c r="K29" t="str">
        <f>IFERROR(__xludf.DUMMYFUNCTION("""COMPUTED_VALUE"""),"2014-05")</f>
        <v>2014-05</v>
      </c>
      <c r="L29">
        <f>IFERROR(__xludf.DUMMYFUNCTION("""COMPUTED_VALUE"""),0.0)</f>
        <v>0</v>
      </c>
    </row>
    <row r="30">
      <c r="C30" s="59">
        <f t="shared" si="1"/>
        <v>-0.06106104969</v>
      </c>
      <c r="E30" s="36">
        <v>41448.0</v>
      </c>
      <c r="F30" t="str">
        <f t="shared" si="2"/>
        <v>2013-06</v>
      </c>
      <c r="G30" t="str">
        <f>IFERROR(__xludf.DUMMYFUNCTION("""COMPUTED_VALUE"""),"2014-07")</f>
        <v>2014-07</v>
      </c>
      <c r="H30" s="52">
        <f>IFERROR(__xludf.DUMMYFUNCTION("""COMPUTED_VALUE"""),6.0)</f>
        <v>6</v>
      </c>
      <c r="I30" s="44">
        <f t="shared" si="3"/>
        <v>0.009365853415</v>
      </c>
      <c r="J30" s="45">
        <v>114.0</v>
      </c>
      <c r="K30" t="str">
        <f>IFERROR(__xludf.DUMMYFUNCTION("""COMPUTED_VALUE"""),"2014-07")</f>
        <v>2014-07</v>
      </c>
      <c r="L30">
        <f>IFERROR(__xludf.DUMMYFUNCTION("""COMPUTED_VALUE"""),433.0)</f>
        <v>433</v>
      </c>
    </row>
    <row r="31">
      <c r="C31" s="59">
        <f t="shared" si="1"/>
        <v>0.01082189707</v>
      </c>
      <c r="E31" s="36">
        <v>41480.0</v>
      </c>
      <c r="F31" t="str">
        <f t="shared" si="2"/>
        <v>2013-07</v>
      </c>
      <c r="G31" t="str">
        <f>IFERROR(__xludf.DUMMYFUNCTION("""COMPUTED_VALUE"""),"2014-08")</f>
        <v>2014-08</v>
      </c>
      <c r="H31" s="52">
        <f>IFERROR(__xludf.DUMMYFUNCTION("""COMPUTED_VALUE"""),3.0)</f>
        <v>3</v>
      </c>
      <c r="I31" s="44">
        <f t="shared" si="3"/>
        <v>0.04111861294</v>
      </c>
      <c r="J31" s="45">
        <v>0.0</v>
      </c>
      <c r="K31" t="str">
        <f>IFERROR(__xludf.DUMMYFUNCTION("""COMPUTED_VALUE"""),"2014-08")</f>
        <v>2014-08</v>
      </c>
      <c r="L31">
        <f>IFERROR(__xludf.DUMMYFUNCTION("""COMPUTED_VALUE"""),494.0)</f>
        <v>494</v>
      </c>
    </row>
    <row r="32">
      <c r="C32" s="59">
        <f t="shared" si="1"/>
        <v>0.01266912546</v>
      </c>
      <c r="E32" s="36">
        <v>41500.0</v>
      </c>
      <c r="F32" t="str">
        <f t="shared" si="2"/>
        <v>2013-08</v>
      </c>
      <c r="G32" t="str">
        <f>IFERROR(__xludf.DUMMYFUNCTION("""COMPUTED_VALUE"""),"2014-09")</f>
        <v>2014-09</v>
      </c>
      <c r="H32" s="52">
        <f>IFERROR(__xludf.DUMMYFUNCTION("""COMPUTED_VALUE"""),2.0)</f>
        <v>2</v>
      </c>
      <c r="I32" s="44">
        <f t="shared" si="3"/>
        <v>0.02618932617</v>
      </c>
      <c r="J32" s="45">
        <v>299.0</v>
      </c>
      <c r="K32" t="str">
        <f>IFERROR(__xludf.DUMMYFUNCTION("""COMPUTED_VALUE"""),"2014-09")</f>
        <v>2014-09</v>
      </c>
      <c r="L32">
        <f>IFERROR(__xludf.DUMMYFUNCTION("""COMPUTED_VALUE"""),0.0)</f>
        <v>0</v>
      </c>
    </row>
    <row r="33">
      <c r="C33" s="59">
        <f t="shared" si="1"/>
        <v>0.009365853415</v>
      </c>
      <c r="E33" s="36">
        <v>41515.0</v>
      </c>
      <c r="F33" t="str">
        <f t="shared" si="2"/>
        <v>2013-08</v>
      </c>
      <c r="G33" t="str">
        <f>IFERROR(__xludf.DUMMYFUNCTION("""COMPUTED_VALUE"""),"2014-10")</f>
        <v>2014-10</v>
      </c>
      <c r="H33" s="52">
        <f>IFERROR(__xludf.DUMMYFUNCTION("""COMPUTED_VALUE"""),5.0)</f>
        <v>5</v>
      </c>
      <c r="I33" s="44">
        <f t="shared" si="3"/>
        <v>0.02774719052</v>
      </c>
      <c r="J33" s="45">
        <v>206.0</v>
      </c>
      <c r="K33" t="str">
        <f>IFERROR(__xludf.DUMMYFUNCTION("""COMPUTED_VALUE"""),"2014-10")</f>
        <v>2014-10</v>
      </c>
      <c r="L33">
        <f>IFERROR(__xludf.DUMMYFUNCTION("""COMPUTED_VALUE"""),268.0)</f>
        <v>268</v>
      </c>
    </row>
    <row r="34">
      <c r="C34" s="59">
        <f t="shared" si="1"/>
        <v>0.04111861294</v>
      </c>
      <c r="E34" s="36">
        <v>41518.0</v>
      </c>
      <c r="F34" t="str">
        <f t="shared" si="2"/>
        <v>2013-09</v>
      </c>
      <c r="G34" t="str">
        <f>IFERROR(__xludf.DUMMYFUNCTION("""COMPUTED_VALUE"""),"2014-11")</f>
        <v>2014-11</v>
      </c>
      <c r="H34" s="52">
        <f>IFERROR(__xludf.DUMMYFUNCTION("""COMPUTED_VALUE"""),4.0)</f>
        <v>4</v>
      </c>
      <c r="I34" s="44">
        <f t="shared" si="3"/>
        <v>-0.04415177074</v>
      </c>
      <c r="J34" s="45">
        <v>116.0</v>
      </c>
      <c r="K34" t="str">
        <f>IFERROR(__xludf.DUMMYFUNCTION("""COMPUTED_VALUE"""),"2014-11")</f>
        <v>2014-11</v>
      </c>
      <c r="L34">
        <f>IFERROR(__xludf.DUMMYFUNCTION("""COMPUTED_VALUE"""),459.0)</f>
        <v>459</v>
      </c>
    </row>
    <row r="35">
      <c r="C35" s="59">
        <f t="shared" si="1"/>
        <v>0.02618932617</v>
      </c>
      <c r="E35" s="36">
        <v>41652.0</v>
      </c>
      <c r="F35" t="str">
        <f t="shared" si="2"/>
        <v>2014-01</v>
      </c>
      <c r="G35" t="str">
        <f>IFERROR(__xludf.DUMMYFUNCTION("""COMPUTED_VALUE"""),"2014-12")</f>
        <v>2014-12</v>
      </c>
      <c r="H35" s="52">
        <f>IFERROR(__xludf.DUMMYFUNCTION("""COMPUTED_VALUE"""),5.0)</f>
        <v>5</v>
      </c>
      <c r="I35" s="44">
        <f t="shared" si="3"/>
        <v>-0.02197808939</v>
      </c>
      <c r="J35" s="45">
        <v>0.0</v>
      </c>
      <c r="K35" t="str">
        <f>IFERROR(__xludf.DUMMYFUNCTION("""COMPUTED_VALUE"""),"2014-12")</f>
        <v>2014-12</v>
      </c>
      <c r="L35">
        <f>IFERROR(__xludf.DUMMYFUNCTION("""COMPUTED_VALUE"""),717.0)</f>
        <v>717</v>
      </c>
    </row>
    <row r="36">
      <c r="C36" s="59">
        <f t="shared" si="1"/>
        <v>0.02774719052</v>
      </c>
      <c r="E36" s="36">
        <v>41518.0</v>
      </c>
      <c r="F36" t="str">
        <f t="shared" si="2"/>
        <v>2013-09</v>
      </c>
      <c r="G36" t="str">
        <f>IFERROR(__xludf.DUMMYFUNCTION("""COMPUTED_VALUE"""),"2015-01")</f>
        <v>2015-01</v>
      </c>
      <c r="H36" s="52">
        <f>IFERROR(__xludf.DUMMYFUNCTION("""COMPUTED_VALUE"""),1.0)</f>
        <v>1</v>
      </c>
      <c r="I36" s="44">
        <f t="shared" si="3"/>
        <v>-0.08962977427</v>
      </c>
      <c r="J36" s="45">
        <v>71.0</v>
      </c>
      <c r="K36" t="str">
        <f>IFERROR(__xludf.DUMMYFUNCTION("""COMPUTED_VALUE"""),"2015-01")</f>
        <v>2015-01</v>
      </c>
      <c r="L36">
        <f>IFERROR(__xludf.DUMMYFUNCTION("""COMPUTED_VALUE"""),0.0)</f>
        <v>0</v>
      </c>
    </row>
    <row r="37">
      <c r="C37" s="59">
        <f t="shared" si="1"/>
        <v>-0.04415177074</v>
      </c>
      <c r="E37" s="36">
        <v>41545.0</v>
      </c>
      <c r="F37" t="str">
        <f t="shared" si="2"/>
        <v>2013-09</v>
      </c>
      <c r="G37" t="str">
        <f>IFERROR(__xludf.DUMMYFUNCTION("""COMPUTED_VALUE"""),"2015-02")</f>
        <v>2015-02</v>
      </c>
      <c r="H37" s="52">
        <f>IFERROR(__xludf.DUMMYFUNCTION("""COMPUTED_VALUE"""),4.0)</f>
        <v>4</v>
      </c>
      <c r="I37" s="44">
        <f t="shared" si="3"/>
        <v>0.05469722804</v>
      </c>
      <c r="J37" s="45">
        <v>0.0</v>
      </c>
      <c r="K37" t="str">
        <f>IFERROR(__xludf.DUMMYFUNCTION("""COMPUTED_VALUE"""),"2015-02")</f>
        <v>2015-02</v>
      </c>
      <c r="L37">
        <f>IFERROR(__xludf.DUMMYFUNCTION("""COMPUTED_VALUE"""),858.0)</f>
        <v>858</v>
      </c>
    </row>
    <row r="38">
      <c r="C38" s="59">
        <f t="shared" si="1"/>
        <v>-0.02197808939</v>
      </c>
      <c r="E38" s="36">
        <v>41551.0</v>
      </c>
      <c r="F38" t="str">
        <f t="shared" si="2"/>
        <v>2013-10</v>
      </c>
      <c r="G38" t="str">
        <f>IFERROR(__xludf.DUMMYFUNCTION("""COMPUTED_VALUE"""),"2015-03")</f>
        <v>2015-03</v>
      </c>
      <c r="H38" s="52">
        <f>IFERROR(__xludf.DUMMYFUNCTION("""COMPUTED_VALUE"""),4.0)</f>
        <v>4</v>
      </c>
      <c r="I38" s="44">
        <f t="shared" si="3"/>
        <v>-0.0238470829</v>
      </c>
      <c r="J38" s="45">
        <v>0.0</v>
      </c>
      <c r="K38" t="str">
        <f>IFERROR(__xludf.DUMMYFUNCTION("""COMPUTED_VALUE"""),"2015-03")</f>
        <v>2015-03</v>
      </c>
      <c r="L38">
        <f>IFERROR(__xludf.DUMMYFUNCTION("""COMPUTED_VALUE"""),0.0)</f>
        <v>0</v>
      </c>
    </row>
    <row r="39">
      <c r="C39" s="59">
        <f t="shared" si="1"/>
        <v>-0.08962977427</v>
      </c>
      <c r="E39" s="36">
        <v>41558.0</v>
      </c>
      <c r="F39" t="str">
        <f t="shared" si="2"/>
        <v>2013-10</v>
      </c>
      <c r="G39" t="str">
        <f>IFERROR(__xludf.DUMMYFUNCTION("""COMPUTED_VALUE"""),"2015-04")</f>
        <v>2015-04</v>
      </c>
      <c r="H39" s="52">
        <f>IFERROR(__xludf.DUMMYFUNCTION("""COMPUTED_VALUE"""),5.0)</f>
        <v>5</v>
      </c>
      <c r="I39" s="44">
        <f t="shared" si="3"/>
        <v>-0.0289646396</v>
      </c>
      <c r="J39" s="45">
        <v>0.0</v>
      </c>
      <c r="K39" t="str">
        <f>IFERROR(__xludf.DUMMYFUNCTION("""COMPUTED_VALUE"""),"2015-04")</f>
        <v>2015-04</v>
      </c>
      <c r="L39">
        <f>IFERROR(__xludf.DUMMYFUNCTION("""COMPUTED_VALUE"""),342.0)</f>
        <v>342</v>
      </c>
    </row>
    <row r="40">
      <c r="C40" s="59">
        <f t="shared" si="1"/>
        <v>0.05469722804</v>
      </c>
      <c r="E40" s="36">
        <v>41568.0</v>
      </c>
      <c r="F40" t="str">
        <f t="shared" si="2"/>
        <v>2013-10</v>
      </c>
      <c r="G40" t="str">
        <f>IFERROR(__xludf.DUMMYFUNCTION("""COMPUTED_VALUE"""),"2015-05")</f>
        <v>2015-05</v>
      </c>
      <c r="H40" s="52">
        <f>IFERROR(__xludf.DUMMYFUNCTION("""COMPUTED_VALUE"""),4.0)</f>
        <v>4</v>
      </c>
      <c r="I40" s="44">
        <f t="shared" si="3"/>
        <v>0.003792518405</v>
      </c>
      <c r="J40" s="45">
        <v>0.0</v>
      </c>
      <c r="K40" t="str">
        <f>IFERROR(__xludf.DUMMYFUNCTION("""COMPUTED_VALUE"""),"2015-05")</f>
        <v>2015-05</v>
      </c>
      <c r="L40">
        <f>IFERROR(__xludf.DUMMYFUNCTION("""COMPUTED_VALUE"""),0.0)</f>
        <v>0</v>
      </c>
    </row>
    <row r="41">
      <c r="C41" s="59">
        <f t="shared" si="1"/>
        <v>-0.0238470829</v>
      </c>
      <c r="E41" s="36">
        <v>41570.0</v>
      </c>
      <c r="F41" t="str">
        <f t="shared" si="2"/>
        <v>2013-10</v>
      </c>
      <c r="G41" t="str">
        <f>IFERROR(__xludf.DUMMYFUNCTION("""COMPUTED_VALUE"""),"2015-06")</f>
        <v>2015-06</v>
      </c>
      <c r="H41" s="52">
        <f>IFERROR(__xludf.DUMMYFUNCTION("""COMPUTED_VALUE"""),5.0)</f>
        <v>5</v>
      </c>
      <c r="I41" s="44">
        <f t="shared" si="3"/>
        <v>0.01041952844</v>
      </c>
      <c r="J41" s="45">
        <v>0.0</v>
      </c>
      <c r="K41" t="str">
        <f>IFERROR(__xludf.DUMMYFUNCTION("""COMPUTED_VALUE"""),"2015-06")</f>
        <v>2015-06</v>
      </c>
      <c r="L41">
        <f>IFERROR(__xludf.DUMMYFUNCTION("""COMPUTED_VALUE"""),582.0)</f>
        <v>582</v>
      </c>
    </row>
    <row r="42">
      <c r="C42" s="59">
        <f t="shared" si="1"/>
        <v>-0.0289646396</v>
      </c>
      <c r="E42" s="36">
        <v>41572.0</v>
      </c>
      <c r="F42" t="str">
        <f t="shared" si="2"/>
        <v>2013-10</v>
      </c>
      <c r="G42" t="str">
        <f>IFERROR(__xludf.DUMMYFUNCTION("""COMPUTED_VALUE"""),"2015-07")</f>
        <v>2015-07</v>
      </c>
      <c r="H42" s="52">
        <f>IFERROR(__xludf.DUMMYFUNCTION("""COMPUTED_VALUE"""),7.0)</f>
        <v>7</v>
      </c>
      <c r="I42" s="44">
        <f t="shared" si="3"/>
        <v>0.0251329165</v>
      </c>
      <c r="J42" s="45">
        <v>0.0</v>
      </c>
      <c r="K42" t="str">
        <f>IFERROR(__xludf.DUMMYFUNCTION("""COMPUTED_VALUE"""),"2015-07")</f>
        <v>2015-07</v>
      </c>
      <c r="L42">
        <f>IFERROR(__xludf.DUMMYFUNCTION("""COMPUTED_VALUE"""),0.0)</f>
        <v>0</v>
      </c>
    </row>
    <row r="43">
      <c r="C43" s="59">
        <f t="shared" si="1"/>
        <v>0.003792518405</v>
      </c>
      <c r="E43" s="36">
        <v>41652.0</v>
      </c>
      <c r="F43" t="str">
        <f t="shared" si="2"/>
        <v>2014-01</v>
      </c>
      <c r="G43" t="str">
        <f>IFERROR(__xludf.DUMMYFUNCTION("""COMPUTED_VALUE"""),"2015-08")</f>
        <v>2015-08</v>
      </c>
      <c r="H43" s="52">
        <f>IFERROR(__xludf.DUMMYFUNCTION("""COMPUTED_VALUE"""),8.0)</f>
        <v>8</v>
      </c>
      <c r="I43" s="44">
        <f t="shared" si="3"/>
        <v>-0.004535868203</v>
      </c>
      <c r="J43" s="45">
        <v>0.0</v>
      </c>
      <c r="K43" t="str">
        <f>IFERROR(__xludf.DUMMYFUNCTION("""COMPUTED_VALUE"""),"2015-08")</f>
        <v>2015-08</v>
      </c>
      <c r="L43">
        <f>IFERROR(__xludf.DUMMYFUNCTION("""COMPUTED_VALUE"""),0.0)</f>
        <v>0</v>
      </c>
    </row>
    <row r="44">
      <c r="C44" s="59">
        <f t="shared" si="1"/>
        <v>0.01041952844</v>
      </c>
      <c r="E44" s="36">
        <v>41568.0</v>
      </c>
      <c r="F44" t="str">
        <f t="shared" si="2"/>
        <v>2013-10</v>
      </c>
      <c r="G44" t="str">
        <f>IFERROR(__xludf.DUMMYFUNCTION("""COMPUTED_VALUE"""),"2015-09")</f>
        <v>2015-09</v>
      </c>
      <c r="H44" s="52">
        <f>IFERROR(__xludf.DUMMYFUNCTION("""COMPUTED_VALUE"""),4.0)</f>
        <v>4</v>
      </c>
      <c r="I44" s="44">
        <f t="shared" si="3"/>
        <v>0.06821042167</v>
      </c>
      <c r="J44" s="45">
        <v>275.0</v>
      </c>
      <c r="K44" t="str">
        <f>IFERROR(__xludf.DUMMYFUNCTION("""COMPUTED_VALUE"""),"2015-09")</f>
        <v>2015-09</v>
      </c>
      <c r="L44">
        <f>IFERROR(__xludf.DUMMYFUNCTION("""COMPUTED_VALUE"""),798.0)</f>
        <v>798</v>
      </c>
    </row>
    <row r="45">
      <c r="C45" s="59">
        <f t="shared" si="1"/>
        <v>0.0251329165</v>
      </c>
      <c r="E45" s="36">
        <v>41572.0</v>
      </c>
      <c r="F45" t="str">
        <f t="shared" si="2"/>
        <v>2013-10</v>
      </c>
      <c r="G45" t="str">
        <f>IFERROR(__xludf.DUMMYFUNCTION("""COMPUTED_VALUE"""),"2015-10")</f>
        <v>2015-10</v>
      </c>
      <c r="H45" s="52">
        <f>IFERROR(__xludf.DUMMYFUNCTION("""COMPUTED_VALUE"""),3.0)</f>
        <v>3</v>
      </c>
      <c r="I45" s="44">
        <f t="shared" si="3"/>
        <v>-0.01062082899</v>
      </c>
      <c r="J45" s="45">
        <v>0.0</v>
      </c>
      <c r="K45" t="str">
        <f>IFERROR(__xludf.DUMMYFUNCTION("""COMPUTED_VALUE"""),"2015-10")</f>
        <v>2015-10</v>
      </c>
      <c r="L45">
        <f>IFERROR(__xludf.DUMMYFUNCTION("""COMPUTED_VALUE"""),0.0)</f>
        <v>0</v>
      </c>
    </row>
    <row r="46">
      <c r="C46" s="59">
        <f t="shared" si="1"/>
        <v>-0.004535868203</v>
      </c>
      <c r="E46" s="36">
        <v>41580.0</v>
      </c>
      <c r="F46" t="str">
        <f t="shared" si="2"/>
        <v>2013-11</v>
      </c>
      <c r="G46" t="str">
        <f>IFERROR(__xludf.DUMMYFUNCTION("""COMPUTED_VALUE"""),"2015-11")</f>
        <v>2015-11</v>
      </c>
      <c r="H46" s="52">
        <f>IFERROR(__xludf.DUMMYFUNCTION("""COMPUTED_VALUE"""),5.0)</f>
        <v>5</v>
      </c>
      <c r="I46" s="44">
        <f t="shared" si="3"/>
        <v>0.03516522499</v>
      </c>
      <c r="J46" s="45">
        <v>0.0</v>
      </c>
      <c r="K46" t="str">
        <f>IFERROR(__xludf.DUMMYFUNCTION("""COMPUTED_VALUE"""),"2015-11")</f>
        <v>2015-11</v>
      </c>
      <c r="L46">
        <f>IFERROR(__xludf.DUMMYFUNCTION("""COMPUTED_VALUE"""),372.0)</f>
        <v>372</v>
      </c>
    </row>
    <row r="47">
      <c r="C47" s="59">
        <f t="shared" si="1"/>
        <v>0.06821042167</v>
      </c>
      <c r="E47" s="36">
        <v>41593.0</v>
      </c>
      <c r="F47" t="str">
        <f t="shared" si="2"/>
        <v>2013-11</v>
      </c>
      <c r="G47" t="str">
        <f>IFERROR(__xludf.DUMMYFUNCTION("""COMPUTED_VALUE"""),"2015-12")</f>
        <v>2015-12</v>
      </c>
      <c r="H47" s="52">
        <f>IFERROR(__xludf.DUMMYFUNCTION("""COMPUTED_VALUE"""),1.0)</f>
        <v>1</v>
      </c>
      <c r="I47" s="44">
        <f t="shared" si="3"/>
        <v>-0.01534194182</v>
      </c>
      <c r="J47" s="45">
        <v>0.0</v>
      </c>
      <c r="K47" t="str">
        <f>IFERROR(__xludf.DUMMYFUNCTION("""COMPUTED_VALUE"""),"2015-12")</f>
        <v>2015-12</v>
      </c>
      <c r="L47">
        <f>IFERROR(__xludf.DUMMYFUNCTION("""COMPUTED_VALUE"""),0.0)</f>
        <v>0</v>
      </c>
    </row>
    <row r="48">
      <c r="C48" s="59">
        <f t="shared" si="1"/>
        <v>-0.01062082899</v>
      </c>
      <c r="E48" s="36">
        <v>41601.0</v>
      </c>
      <c r="F48" t="str">
        <f t="shared" si="2"/>
        <v>2013-11</v>
      </c>
      <c r="G48" t="str">
        <f>IFERROR(__xludf.DUMMYFUNCTION("""COMPUTED_VALUE"""),"2016-01")</f>
        <v>2016-01</v>
      </c>
      <c r="H48" s="52">
        <f>IFERROR(__xludf.DUMMYFUNCTION("""COMPUTED_VALUE"""),10.0)</f>
        <v>10</v>
      </c>
      <c r="I48" s="44">
        <f t="shared" si="3"/>
        <v>0.07905043671</v>
      </c>
      <c r="J48" s="45">
        <v>0.0</v>
      </c>
      <c r="K48" t="str">
        <f>IFERROR(__xludf.DUMMYFUNCTION("""COMPUTED_VALUE"""),"2016-01")</f>
        <v>2016-01</v>
      </c>
      <c r="L48">
        <f>IFERROR(__xludf.DUMMYFUNCTION("""COMPUTED_VALUE"""),425.0)</f>
        <v>425</v>
      </c>
    </row>
    <row r="49">
      <c r="C49" s="59">
        <f t="shared" si="1"/>
        <v>0.03516522499</v>
      </c>
      <c r="E49" s="36">
        <v>41652.0</v>
      </c>
      <c r="F49" t="str">
        <f t="shared" si="2"/>
        <v>2014-01</v>
      </c>
      <c r="G49" t="str">
        <f>IFERROR(__xludf.DUMMYFUNCTION("""COMPUTED_VALUE"""),"2016-02")</f>
        <v>2016-02</v>
      </c>
      <c r="H49" s="52">
        <f>IFERROR(__xludf.DUMMYFUNCTION("""COMPUTED_VALUE"""),5.0)</f>
        <v>5</v>
      </c>
      <c r="I49" s="44">
        <f t="shared" si="3"/>
        <v>-0.03480634497</v>
      </c>
      <c r="J49" s="45">
        <v>0.0</v>
      </c>
      <c r="K49" t="str">
        <f>IFERROR(__xludf.DUMMYFUNCTION("""COMPUTED_VALUE"""),"2016-02")</f>
        <v>2016-02</v>
      </c>
      <c r="L49">
        <f>IFERROR(__xludf.DUMMYFUNCTION("""COMPUTED_VALUE"""),157.0)</f>
        <v>157</v>
      </c>
    </row>
    <row r="50">
      <c r="C50" s="59">
        <f t="shared" si="1"/>
        <v>-0.01534194182</v>
      </c>
      <c r="E50" s="36">
        <v>41677.0</v>
      </c>
      <c r="F50" t="str">
        <f t="shared" si="2"/>
        <v>2014-02</v>
      </c>
      <c r="G50" t="str">
        <f>IFERROR(__xludf.DUMMYFUNCTION("""COMPUTED_VALUE"""),"2016-03")</f>
        <v>2016-03</v>
      </c>
      <c r="H50" s="52">
        <f>IFERROR(__xludf.DUMMYFUNCTION("""COMPUTED_VALUE"""),6.0)</f>
        <v>6</v>
      </c>
      <c r="I50" s="44">
        <f t="shared" si="3"/>
        <v>0.02364247242</v>
      </c>
      <c r="J50" s="45">
        <v>0.0</v>
      </c>
      <c r="K50" t="str">
        <f>IFERROR(__xludf.DUMMYFUNCTION("""COMPUTED_VALUE"""),"2016-03")</f>
        <v>2016-03</v>
      </c>
      <c r="L50">
        <f>IFERROR(__xludf.DUMMYFUNCTION("""COMPUTED_VALUE"""),0.0)</f>
        <v>0</v>
      </c>
    </row>
    <row r="51">
      <c r="C51" s="59">
        <f t="shared" si="1"/>
        <v>0.07905043671</v>
      </c>
      <c r="E51" s="36">
        <v>41603.0</v>
      </c>
      <c r="F51" t="str">
        <f t="shared" si="2"/>
        <v>2013-11</v>
      </c>
      <c r="G51" t="str">
        <f>IFERROR(__xludf.DUMMYFUNCTION("""COMPUTED_VALUE"""),"2016-04")</f>
        <v>2016-04</v>
      </c>
      <c r="H51" s="52">
        <f>IFERROR(__xludf.DUMMYFUNCTION("""COMPUTED_VALUE"""),7.0)</f>
        <v>7</v>
      </c>
      <c r="I51" s="44">
        <f t="shared" si="3"/>
        <v>0.03673181314</v>
      </c>
      <c r="J51" s="45">
        <v>175.0</v>
      </c>
      <c r="K51" t="str">
        <f>IFERROR(__xludf.DUMMYFUNCTION("""COMPUTED_VALUE"""),"2016-04")</f>
        <v>2016-04</v>
      </c>
      <c r="L51">
        <f>IFERROR(__xludf.DUMMYFUNCTION("""COMPUTED_VALUE"""),759.0)</f>
        <v>759</v>
      </c>
    </row>
    <row r="52">
      <c r="C52" s="59">
        <f t="shared" si="1"/>
        <v>-0.03480634497</v>
      </c>
      <c r="E52" s="36">
        <v>41617.0</v>
      </c>
      <c r="F52" t="str">
        <f t="shared" si="2"/>
        <v>2013-12</v>
      </c>
      <c r="G52" t="str">
        <f>IFERROR(__xludf.DUMMYFUNCTION("""COMPUTED_VALUE"""),"2016-05")</f>
        <v>2016-05</v>
      </c>
      <c r="H52" s="52">
        <f>IFERROR(__xludf.DUMMYFUNCTION("""COMPUTED_VALUE"""),2.0)</f>
        <v>2</v>
      </c>
      <c r="I52" s="44">
        <f t="shared" si="3"/>
        <v>0.04039331481</v>
      </c>
      <c r="J52" s="45">
        <v>1.0</v>
      </c>
      <c r="K52" t="str">
        <f>IFERROR(__xludf.DUMMYFUNCTION("""COMPUTED_VALUE"""),"2016-05")</f>
        <v>2016-05</v>
      </c>
      <c r="L52">
        <f>IFERROR(__xludf.DUMMYFUNCTION("""COMPUTED_VALUE"""),0.0)</f>
        <v>0</v>
      </c>
    </row>
    <row r="53">
      <c r="C53" s="59">
        <f t="shared" si="1"/>
        <v>0.02364247242</v>
      </c>
      <c r="E53" s="36">
        <v>41629.0</v>
      </c>
      <c r="F53" t="str">
        <f t="shared" si="2"/>
        <v>2013-12</v>
      </c>
      <c r="G53" t="str">
        <f>IFERROR(__xludf.DUMMYFUNCTION("""COMPUTED_VALUE"""),"2016-06")</f>
        <v>2016-06</v>
      </c>
      <c r="H53" s="52">
        <f>IFERROR(__xludf.DUMMYFUNCTION("""COMPUTED_VALUE"""),5.0)</f>
        <v>5</v>
      </c>
      <c r="I53" s="44">
        <f t="shared" si="3"/>
        <v>0.02819265681</v>
      </c>
      <c r="J53" s="45">
        <v>0.0</v>
      </c>
      <c r="K53" t="str">
        <f>IFERROR(__xludf.DUMMYFUNCTION("""COMPUTED_VALUE"""),"2016-06")</f>
        <v>2016-06</v>
      </c>
      <c r="L53">
        <f>IFERROR(__xludf.DUMMYFUNCTION("""COMPUTED_VALUE"""),350.0)</f>
        <v>350</v>
      </c>
    </row>
    <row r="54">
      <c r="C54" s="59">
        <f t="shared" si="1"/>
        <v>0.03673181314</v>
      </c>
      <c r="E54" s="36">
        <v>41636.0</v>
      </c>
      <c r="F54" t="str">
        <f t="shared" si="2"/>
        <v>2013-12</v>
      </c>
      <c r="G54" t="str">
        <f>IFERROR(__xludf.DUMMYFUNCTION("""COMPUTED_VALUE"""),"2016-07")</f>
        <v>2016-07</v>
      </c>
      <c r="H54" s="52">
        <f>IFERROR(__xludf.DUMMYFUNCTION("""COMPUTED_VALUE"""),6.0)</f>
        <v>6</v>
      </c>
      <c r="I54" s="44">
        <f t="shared" si="3"/>
        <v>0.07766346369</v>
      </c>
      <c r="J54" s="45">
        <v>0.0</v>
      </c>
      <c r="K54" t="str">
        <f>IFERROR(__xludf.DUMMYFUNCTION("""COMPUTED_VALUE"""),"2016-07")</f>
        <v>2016-07</v>
      </c>
      <c r="L54">
        <f>IFERROR(__xludf.DUMMYFUNCTION("""COMPUTED_VALUE"""),57.0)</f>
        <v>57</v>
      </c>
    </row>
    <row r="55">
      <c r="C55" s="59">
        <f t="shared" si="1"/>
        <v>0.04039331481</v>
      </c>
      <c r="E55" s="36">
        <v>41646.0</v>
      </c>
      <c r="F55" t="str">
        <f t="shared" si="2"/>
        <v>2014-01</v>
      </c>
      <c r="G55" t="str">
        <f>IFERROR(__xludf.DUMMYFUNCTION("""COMPUTED_VALUE"""),"2016-08")</f>
        <v>2016-08</v>
      </c>
      <c r="H55" s="52">
        <f>IFERROR(__xludf.DUMMYFUNCTION("""COMPUTED_VALUE"""),9.0)</f>
        <v>9</v>
      </c>
      <c r="I55" s="44">
        <f t="shared" si="3"/>
        <v>0.05099052303</v>
      </c>
      <c r="J55" s="45">
        <v>0.0</v>
      </c>
      <c r="K55" t="str">
        <f>IFERROR(__xludf.DUMMYFUNCTION("""COMPUTED_VALUE"""),"2016-08")</f>
        <v>2016-08</v>
      </c>
      <c r="L55">
        <f>IFERROR(__xludf.DUMMYFUNCTION("""COMPUTED_VALUE"""),718.0)</f>
        <v>718</v>
      </c>
    </row>
    <row r="56">
      <c r="C56" s="59">
        <f t="shared" si="1"/>
        <v>0.02819265681</v>
      </c>
      <c r="E56" s="36">
        <v>41652.0</v>
      </c>
      <c r="F56" t="str">
        <f t="shared" si="2"/>
        <v>2014-01</v>
      </c>
      <c r="G56" t="str">
        <f>IFERROR(__xludf.DUMMYFUNCTION("""COMPUTED_VALUE"""),"2016-09")</f>
        <v>2016-09</v>
      </c>
      <c r="H56" s="52">
        <f>IFERROR(__xludf.DUMMYFUNCTION("""COMPUTED_VALUE"""),7.0)</f>
        <v>7</v>
      </c>
      <c r="I56" s="44">
        <f t="shared" si="3"/>
        <v>-0.01790983617</v>
      </c>
      <c r="J56" s="45">
        <v>0.0</v>
      </c>
      <c r="K56" t="str">
        <f>IFERROR(__xludf.DUMMYFUNCTION("""COMPUTED_VALUE"""),"2016-09")</f>
        <v>2016-09</v>
      </c>
      <c r="L56">
        <f>IFERROR(__xludf.DUMMYFUNCTION("""COMPUTED_VALUE"""),0.0)</f>
        <v>0</v>
      </c>
    </row>
    <row r="57">
      <c r="C57" s="59">
        <f t="shared" si="1"/>
        <v>0.07766346369</v>
      </c>
      <c r="E57" s="36">
        <v>41677.0</v>
      </c>
      <c r="F57" t="str">
        <f t="shared" si="2"/>
        <v>2014-02</v>
      </c>
      <c r="G57" t="str">
        <f>IFERROR(__xludf.DUMMYFUNCTION("""COMPUTED_VALUE"""),"2016-10")</f>
        <v>2016-10</v>
      </c>
      <c r="H57" s="52">
        <f>IFERROR(__xludf.DUMMYFUNCTION("""COMPUTED_VALUE"""),6.0)</f>
        <v>6</v>
      </c>
      <c r="I57" s="44">
        <f t="shared" si="3"/>
        <v>0.0259178167</v>
      </c>
      <c r="J57" s="45">
        <v>0.0</v>
      </c>
      <c r="K57" t="str">
        <f>IFERROR(__xludf.DUMMYFUNCTION("""COMPUTED_VALUE"""),"2016-10")</f>
        <v>2016-10</v>
      </c>
      <c r="L57">
        <f>IFERROR(__xludf.DUMMYFUNCTION("""COMPUTED_VALUE"""),834.0)</f>
        <v>834</v>
      </c>
    </row>
    <row r="58">
      <c r="C58" s="59">
        <f t="shared" si="1"/>
        <v>0.05099052303</v>
      </c>
      <c r="E58" s="36">
        <v>41646.0</v>
      </c>
      <c r="F58" t="str">
        <f t="shared" si="2"/>
        <v>2014-01</v>
      </c>
      <c r="G58" t="str">
        <f>IFERROR(__xludf.DUMMYFUNCTION("""COMPUTED_VALUE"""),"2016-11")</f>
        <v>2016-11</v>
      </c>
      <c r="H58" s="52">
        <f>IFERROR(__xludf.DUMMYFUNCTION("""COMPUTED_VALUE"""),6.0)</f>
        <v>6</v>
      </c>
      <c r="I58" s="44">
        <f t="shared" si="3"/>
        <v>-0.004606733329</v>
      </c>
      <c r="J58" s="45">
        <v>362.0</v>
      </c>
      <c r="K58" t="str">
        <f>IFERROR(__xludf.DUMMYFUNCTION("""COMPUTED_VALUE"""),"2016-11")</f>
        <v>2016-11</v>
      </c>
      <c r="L58">
        <f>IFERROR(__xludf.DUMMYFUNCTION("""COMPUTED_VALUE"""),99.0)</f>
        <v>99</v>
      </c>
    </row>
    <row r="59">
      <c r="C59" s="59">
        <f t="shared" si="1"/>
        <v>-0.01790983617</v>
      </c>
      <c r="E59" s="36">
        <v>41652.0</v>
      </c>
      <c r="F59" t="str">
        <f t="shared" si="2"/>
        <v>2014-01</v>
      </c>
      <c r="G59" t="str">
        <f>IFERROR(__xludf.DUMMYFUNCTION("""COMPUTED_VALUE"""),"2016-12")</f>
        <v>2016-12</v>
      </c>
      <c r="H59" s="52">
        <f>IFERROR(__xludf.DUMMYFUNCTION("""COMPUTED_VALUE"""),4.0)</f>
        <v>4</v>
      </c>
      <c r="I59" s="44">
        <f t="shared" si="3"/>
        <v>0.04800252773</v>
      </c>
      <c r="J59" s="45">
        <v>0.0</v>
      </c>
      <c r="K59" t="str">
        <f>IFERROR(__xludf.DUMMYFUNCTION("""COMPUTED_VALUE"""),"2016-12")</f>
        <v>2016-12</v>
      </c>
      <c r="L59">
        <f>IFERROR(__xludf.DUMMYFUNCTION("""COMPUTED_VALUE"""),164.0)</f>
        <v>164</v>
      </c>
    </row>
    <row r="60">
      <c r="C60" s="59">
        <f t="shared" si="1"/>
        <v>0.0259178167</v>
      </c>
      <c r="E60" s="36">
        <v>41660.0</v>
      </c>
      <c r="F60" t="str">
        <f t="shared" si="2"/>
        <v>2014-01</v>
      </c>
      <c r="G60" t="str">
        <f>IFERROR(__xludf.DUMMYFUNCTION("""COMPUTED_VALUE"""),"2017-01")</f>
        <v>2017-01</v>
      </c>
      <c r="H60" s="52">
        <f>IFERROR(__xludf.DUMMYFUNCTION("""COMPUTED_VALUE"""),6.0)</f>
        <v>6</v>
      </c>
      <c r="I60" s="44">
        <f t="shared" si="3"/>
        <v>0.03786052563</v>
      </c>
      <c r="J60" s="45">
        <v>0.0</v>
      </c>
      <c r="K60" t="str">
        <f>IFERROR(__xludf.DUMMYFUNCTION("""COMPUTED_VALUE"""),"2017-01")</f>
        <v>2017-01</v>
      </c>
      <c r="L60">
        <f>IFERROR(__xludf.DUMMYFUNCTION("""COMPUTED_VALUE"""),0.0)</f>
        <v>0</v>
      </c>
    </row>
    <row r="61">
      <c r="C61" s="59">
        <f t="shared" si="1"/>
        <v>-0.004606733329</v>
      </c>
      <c r="E61" s="36">
        <v>41670.0</v>
      </c>
      <c r="F61" t="str">
        <f t="shared" si="2"/>
        <v>2014-01</v>
      </c>
      <c r="G61" t="str">
        <f>IFERROR(__xludf.DUMMYFUNCTION("""COMPUTED_VALUE"""),"2017-02")</f>
        <v>2017-02</v>
      </c>
      <c r="H61" s="52">
        <f>IFERROR(__xludf.DUMMYFUNCTION("""COMPUTED_VALUE"""),3.0)</f>
        <v>3</v>
      </c>
      <c r="I61" s="44">
        <f t="shared" si="3"/>
        <v>0.0855099058</v>
      </c>
      <c r="J61" s="45">
        <v>0.0</v>
      </c>
      <c r="K61" t="str">
        <f>IFERROR(__xludf.DUMMYFUNCTION("""COMPUTED_VALUE"""),"2017-02")</f>
        <v>2017-02</v>
      </c>
      <c r="L61">
        <f>IFERROR(__xludf.DUMMYFUNCTION("""COMPUTED_VALUE"""),209.0)</f>
        <v>209</v>
      </c>
    </row>
    <row r="62">
      <c r="C62" s="59">
        <f t="shared" si="1"/>
        <v>0.04800252773</v>
      </c>
      <c r="E62" s="36">
        <v>41674.0</v>
      </c>
      <c r="F62" t="str">
        <f t="shared" si="2"/>
        <v>2014-02</v>
      </c>
      <c r="G62" t="str">
        <f>IFERROR(__xludf.DUMMYFUNCTION("""COMPUTED_VALUE"""),"2017-03")</f>
        <v>2017-03</v>
      </c>
      <c r="H62" s="52">
        <f>IFERROR(__xludf.DUMMYFUNCTION("""COMPUTED_VALUE"""),4.0)</f>
        <v>4</v>
      </c>
      <c r="I62" s="44">
        <f t="shared" si="3"/>
        <v>0.04651536604</v>
      </c>
      <c r="J62" s="45">
        <v>0.0</v>
      </c>
      <c r="K62" t="str">
        <f>IFERROR(__xludf.DUMMYFUNCTION("""COMPUTED_VALUE"""),"2017-03")</f>
        <v>2017-03</v>
      </c>
      <c r="L62">
        <f>IFERROR(__xludf.DUMMYFUNCTION("""COMPUTED_VALUE"""),0.0)</f>
        <v>0</v>
      </c>
    </row>
    <row r="63">
      <c r="C63" s="59">
        <f t="shared" si="1"/>
        <v>0.03786052563</v>
      </c>
      <c r="E63" s="36">
        <v>41677.0</v>
      </c>
      <c r="F63" t="str">
        <f t="shared" si="2"/>
        <v>2014-02</v>
      </c>
      <c r="G63" t="str">
        <f>IFERROR(__xludf.DUMMYFUNCTION("""COMPUTED_VALUE"""),"2017-04")</f>
        <v>2017-04</v>
      </c>
      <c r="H63" s="52">
        <f>IFERROR(__xludf.DUMMYFUNCTION("""COMPUTED_VALUE"""),5.0)</f>
        <v>5</v>
      </c>
      <c r="I63" s="44">
        <f t="shared" si="3"/>
        <v>0.00737657021</v>
      </c>
      <c r="J63" s="45">
        <v>0.0</v>
      </c>
      <c r="K63" t="str">
        <f>IFERROR(__xludf.DUMMYFUNCTION("""COMPUTED_VALUE"""),"2017-04")</f>
        <v>2017-04</v>
      </c>
      <c r="L63">
        <f>IFERROR(__xludf.DUMMYFUNCTION("""COMPUTED_VALUE"""),193.0)</f>
        <v>193</v>
      </c>
    </row>
    <row r="64">
      <c r="C64" s="59">
        <f t="shared" si="1"/>
        <v>0.0855099058</v>
      </c>
      <c r="E64" s="36">
        <v>41684.0</v>
      </c>
      <c r="F64" t="str">
        <f t="shared" si="2"/>
        <v>2014-02</v>
      </c>
      <c r="G64" t="str">
        <f>IFERROR(__xludf.DUMMYFUNCTION("""COMPUTED_VALUE"""),"2017-05")</f>
        <v>2017-05</v>
      </c>
      <c r="H64" s="52">
        <f>IFERROR(__xludf.DUMMYFUNCTION("""COMPUTED_VALUE"""),5.0)</f>
        <v>5</v>
      </c>
      <c r="I64" s="44">
        <f t="shared" si="3"/>
        <v>0.056172864</v>
      </c>
      <c r="J64" s="45">
        <v>0.0</v>
      </c>
      <c r="K64" t="str">
        <f>IFERROR(__xludf.DUMMYFUNCTION("""COMPUTED_VALUE"""),"2017-05")</f>
        <v>2017-05</v>
      </c>
      <c r="L64">
        <f>IFERROR(__xludf.DUMMYFUNCTION("""COMPUTED_VALUE"""),180.0)</f>
        <v>180</v>
      </c>
    </row>
    <row r="65">
      <c r="C65" s="59">
        <f t="shared" si="1"/>
        <v>0.04651536604</v>
      </c>
      <c r="E65" s="36">
        <v>41684.0</v>
      </c>
      <c r="F65" t="str">
        <f t="shared" si="2"/>
        <v>2014-02</v>
      </c>
      <c r="G65" t="str">
        <f>IFERROR(__xludf.DUMMYFUNCTION("""COMPUTED_VALUE"""),"2017-07")</f>
        <v>2017-07</v>
      </c>
      <c r="H65" s="52">
        <f>IFERROR(__xludf.DUMMYFUNCTION("""COMPUTED_VALUE"""),5.0)</f>
        <v>5</v>
      </c>
      <c r="I65" s="44">
        <f t="shared" si="3"/>
        <v>0.03538680274</v>
      </c>
      <c r="J65" s="45">
        <v>272.0</v>
      </c>
      <c r="K65" t="str">
        <f>IFERROR(__xludf.DUMMYFUNCTION("""COMPUTED_VALUE"""),"2017-07")</f>
        <v>2017-07</v>
      </c>
      <c r="L65">
        <f>IFERROR(__xludf.DUMMYFUNCTION("""COMPUTED_VALUE"""),353.0)</f>
        <v>353</v>
      </c>
    </row>
    <row r="66">
      <c r="C66" s="59">
        <f t="shared" si="1"/>
        <v>0.00737657021</v>
      </c>
      <c r="E66" s="36">
        <v>41694.0</v>
      </c>
      <c r="F66" t="str">
        <f t="shared" si="2"/>
        <v>2014-02</v>
      </c>
      <c r="G66" t="str">
        <f>IFERROR(__xludf.DUMMYFUNCTION("""COMPUTED_VALUE"""),"2017-08")</f>
        <v>2017-08</v>
      </c>
      <c r="H66" s="52">
        <f>IFERROR(__xludf.DUMMYFUNCTION("""COMPUTED_VALUE"""),3.0)</f>
        <v>3</v>
      </c>
      <c r="I66" s="44">
        <f t="shared" si="3"/>
        <v>0.006574519793</v>
      </c>
      <c r="J66" s="45">
        <v>0.0</v>
      </c>
      <c r="K66" t="str">
        <f>IFERROR(__xludf.DUMMYFUNCTION("""COMPUTED_VALUE"""),"2017-08")</f>
        <v>2017-08</v>
      </c>
      <c r="L66">
        <f>IFERROR(__xludf.DUMMYFUNCTION("""COMPUTED_VALUE"""),0.0)</f>
        <v>0</v>
      </c>
    </row>
    <row r="67">
      <c r="C67" s="59">
        <f t="shared" si="1"/>
        <v>0.056172864</v>
      </c>
      <c r="E67" s="36">
        <v>41699.0</v>
      </c>
      <c r="F67" t="str">
        <f t="shared" si="2"/>
        <v>2014-03</v>
      </c>
      <c r="G67" t="str">
        <f>IFERROR(__xludf.DUMMYFUNCTION("""COMPUTED_VALUE"""),"2017-10")</f>
        <v>2017-10</v>
      </c>
      <c r="H67" s="52">
        <f>IFERROR(__xludf.DUMMYFUNCTION("""COMPUTED_VALUE"""),10.0)</f>
        <v>10</v>
      </c>
      <c r="I67" s="44">
        <f t="shared" si="3"/>
        <v>0.02377909681</v>
      </c>
      <c r="J67" s="45">
        <v>0.0</v>
      </c>
      <c r="K67" t="str">
        <f>IFERROR(__xludf.DUMMYFUNCTION("""COMPUTED_VALUE"""),"2017-10")</f>
        <v>2017-10</v>
      </c>
      <c r="L67">
        <f>IFERROR(__xludf.DUMMYFUNCTION("""COMPUTED_VALUE"""),294.0)</f>
        <v>294</v>
      </c>
    </row>
    <row r="68">
      <c r="C68" s="59">
        <f t="shared" si="1"/>
        <v>-0.06283592221</v>
      </c>
      <c r="E68" s="36">
        <v>41709.0</v>
      </c>
      <c r="F68" t="str">
        <f t="shared" si="2"/>
        <v>2014-03</v>
      </c>
      <c r="G68" t="str">
        <f>IFERROR(__xludf.DUMMYFUNCTION("""COMPUTED_VALUE"""),"2017-11")</f>
        <v>2017-11</v>
      </c>
      <c r="H68" s="52">
        <f>IFERROR(__xludf.DUMMYFUNCTION("""COMPUTED_VALUE"""),2.0)</f>
        <v>2</v>
      </c>
      <c r="I68" s="44">
        <f t="shared" si="3"/>
        <v>0.02096210939</v>
      </c>
      <c r="J68" s="45">
        <v>0.0</v>
      </c>
      <c r="K68" t="str">
        <f>IFERROR(__xludf.DUMMYFUNCTION("""COMPUTED_VALUE"""),"2017-11")</f>
        <v>2017-11</v>
      </c>
      <c r="L68">
        <f>IFERROR(__xludf.DUMMYFUNCTION("""COMPUTED_VALUE"""),0.0)</f>
        <v>0</v>
      </c>
    </row>
    <row r="69">
      <c r="C69" s="59">
        <f t="shared" si="1"/>
        <v>0.03538680274</v>
      </c>
      <c r="E69" s="36">
        <v>41728.0</v>
      </c>
      <c r="F69" t="str">
        <f t="shared" si="2"/>
        <v>2014-03</v>
      </c>
      <c r="H69" s="52"/>
      <c r="I69" s="44"/>
      <c r="J69" s="45">
        <v>0.0</v>
      </c>
    </row>
    <row r="70">
      <c r="C70" s="59">
        <f t="shared" si="1"/>
        <v>0.006574519793</v>
      </c>
      <c r="E70" s="36">
        <v>41752.0</v>
      </c>
      <c r="F70" t="str">
        <f t="shared" si="2"/>
        <v>2014-04</v>
      </c>
      <c r="H70" s="52"/>
      <c r="I70" s="44"/>
      <c r="J70" s="45">
        <v>0.0</v>
      </c>
    </row>
    <row r="71">
      <c r="C71" s="59">
        <f t="shared" si="1"/>
        <v>-0.03543221153</v>
      </c>
      <c r="E71" s="36">
        <v>41730.0</v>
      </c>
      <c r="F71" t="str">
        <f t="shared" si="2"/>
        <v>2014-04</v>
      </c>
      <c r="H71" s="52"/>
      <c r="I71" s="44"/>
      <c r="J71" s="45">
        <v>256.0</v>
      </c>
    </row>
    <row r="72">
      <c r="C72" s="59">
        <f t="shared" si="1"/>
        <v>0.02377909681</v>
      </c>
      <c r="E72" s="36">
        <v>41737.0</v>
      </c>
      <c r="F72" t="str">
        <f t="shared" si="2"/>
        <v>2014-04</v>
      </c>
      <c r="H72" s="52"/>
      <c r="I72" s="44"/>
      <c r="J72" s="45">
        <v>0.0</v>
      </c>
    </row>
    <row r="73">
      <c r="C73" s="59">
        <f t="shared" si="1"/>
        <v>0.02096210939</v>
      </c>
      <c r="E73" s="36">
        <v>41759.0</v>
      </c>
      <c r="F73" t="str">
        <f t="shared" si="2"/>
        <v>2014-04</v>
      </c>
      <c r="H73" s="52"/>
      <c r="I73" s="44"/>
      <c r="J73" s="45">
        <v>0.0</v>
      </c>
    </row>
    <row r="74">
      <c r="C74" s="59"/>
      <c r="E74" s="36">
        <v>41774.0</v>
      </c>
      <c r="F74" t="str">
        <f t="shared" si="2"/>
        <v>2014-05</v>
      </c>
      <c r="H74" s="52"/>
      <c r="I74" s="44"/>
      <c r="J74" s="45">
        <v>0.0</v>
      </c>
    </row>
    <row r="75">
      <c r="B75" s="50"/>
      <c r="C75" s="59"/>
      <c r="E75" s="36">
        <v>41786.0</v>
      </c>
      <c r="F75" t="str">
        <f t="shared" si="2"/>
        <v>2014-05</v>
      </c>
      <c r="H75" s="52"/>
      <c r="I75" s="44"/>
      <c r="J75" s="45">
        <v>0.0</v>
      </c>
    </row>
    <row r="76">
      <c r="B76" s="50"/>
      <c r="C76" s="59"/>
      <c r="E76" s="36">
        <v>41828.0</v>
      </c>
      <c r="F76" t="str">
        <f t="shared" si="2"/>
        <v>2014-07</v>
      </c>
      <c r="H76" s="52"/>
      <c r="I76" s="44"/>
      <c r="J76" s="45">
        <v>0.0</v>
      </c>
    </row>
    <row r="77">
      <c r="B77" s="50"/>
      <c r="C77" s="59"/>
      <c r="E77" s="36">
        <v>41836.0</v>
      </c>
      <c r="F77" t="str">
        <f t="shared" si="2"/>
        <v>2014-07</v>
      </c>
      <c r="H77" s="52"/>
      <c r="I77" s="62" t="s">
        <v>151</v>
      </c>
      <c r="J77" s="45">
        <v>0.0</v>
      </c>
    </row>
    <row r="78">
      <c r="B78" s="50"/>
      <c r="C78" s="59"/>
      <c r="E78" s="36">
        <v>41828.0</v>
      </c>
      <c r="F78" t="str">
        <f t="shared" si="2"/>
        <v>2014-07</v>
      </c>
      <c r="H78" s="52"/>
      <c r="I78" s="44"/>
      <c r="J78" s="45">
        <v>433.0</v>
      </c>
    </row>
    <row r="79">
      <c r="B79" s="50"/>
      <c r="C79" s="59"/>
      <c r="E79" s="36">
        <v>41836.0</v>
      </c>
      <c r="F79" t="str">
        <f t="shared" si="2"/>
        <v>2014-07</v>
      </c>
      <c r="H79" s="52"/>
      <c r="I79" s="44"/>
      <c r="J79" s="45">
        <v>0.0</v>
      </c>
    </row>
    <row r="80">
      <c r="B80" s="50"/>
      <c r="C80" s="59"/>
      <c r="E80" s="36">
        <v>41844.0</v>
      </c>
      <c r="F80" t="str">
        <f t="shared" si="2"/>
        <v>2014-07</v>
      </c>
      <c r="H80" s="52"/>
      <c r="I80" s="44"/>
      <c r="J80" s="45">
        <v>0.0</v>
      </c>
    </row>
    <row r="81">
      <c r="B81" s="50"/>
      <c r="C81" s="59"/>
      <c r="E81" s="36">
        <v>41850.0</v>
      </c>
      <c r="F81" t="str">
        <f t="shared" si="2"/>
        <v>2014-07</v>
      </c>
      <c r="H81" s="52"/>
      <c r="I81" s="44"/>
      <c r="J81" s="45">
        <v>0.0</v>
      </c>
    </row>
    <row r="82">
      <c r="B82" s="50"/>
      <c r="C82" s="59"/>
      <c r="E82" s="36">
        <v>41861.0</v>
      </c>
      <c r="F82" t="str">
        <f t="shared" si="2"/>
        <v>2014-08</v>
      </c>
      <c r="H82" s="52"/>
      <c r="I82" s="44"/>
      <c r="J82" s="45">
        <v>0.0</v>
      </c>
    </row>
    <row r="83">
      <c r="B83" s="50"/>
      <c r="C83" s="59"/>
      <c r="E83" s="36">
        <v>41871.0</v>
      </c>
      <c r="F83" t="str">
        <f t="shared" si="2"/>
        <v>2014-08</v>
      </c>
      <c r="H83" s="52"/>
      <c r="I83" s="44"/>
      <c r="J83" s="45">
        <v>0.0</v>
      </c>
    </row>
    <row r="84">
      <c r="B84" s="50"/>
      <c r="C84" s="59"/>
      <c r="E84" s="36">
        <v>41935.0</v>
      </c>
      <c r="F84" t="str">
        <f t="shared" si="2"/>
        <v>2014-10</v>
      </c>
      <c r="H84" s="52"/>
      <c r="I84" s="44"/>
      <c r="J84" s="45">
        <v>0.0</v>
      </c>
    </row>
    <row r="85">
      <c r="B85" s="50"/>
      <c r="C85" s="59"/>
      <c r="E85" s="36">
        <v>41873.0</v>
      </c>
      <c r="F85" t="str">
        <f t="shared" si="2"/>
        <v>2014-08</v>
      </c>
      <c r="H85" s="52"/>
      <c r="I85" s="44"/>
      <c r="J85" s="45">
        <v>494.0</v>
      </c>
    </row>
    <row r="86">
      <c r="B86" s="50"/>
      <c r="C86" s="59"/>
      <c r="E86" s="36">
        <v>41902.0</v>
      </c>
      <c r="F86" t="str">
        <f t="shared" si="2"/>
        <v>2014-09</v>
      </c>
      <c r="H86" s="52"/>
      <c r="I86" s="44"/>
      <c r="J86" s="45">
        <v>0.0</v>
      </c>
    </row>
    <row r="87">
      <c r="B87" s="50"/>
      <c r="C87" s="59"/>
      <c r="E87" s="36">
        <v>41909.0</v>
      </c>
      <c r="F87" t="str">
        <f t="shared" si="2"/>
        <v>2014-09</v>
      </c>
      <c r="H87" s="52"/>
      <c r="I87" s="44"/>
      <c r="J87" s="45">
        <v>0.0</v>
      </c>
    </row>
    <row r="88">
      <c r="B88" s="50"/>
      <c r="C88" s="59"/>
      <c r="E88" s="36">
        <v>41917.0</v>
      </c>
      <c r="F88" t="str">
        <f t="shared" si="2"/>
        <v>2014-10</v>
      </c>
      <c r="H88" s="52"/>
      <c r="I88" s="44"/>
      <c r="J88" s="45">
        <v>0.0</v>
      </c>
    </row>
    <row r="89">
      <c r="B89" s="50"/>
      <c r="C89" s="59"/>
      <c r="E89" s="36">
        <v>41925.0</v>
      </c>
      <c r="F89" t="str">
        <f t="shared" si="2"/>
        <v>2014-10</v>
      </c>
      <c r="H89" s="52"/>
      <c r="I89" s="44"/>
      <c r="J89" s="45">
        <v>184.0</v>
      </c>
    </row>
    <row r="90">
      <c r="B90" s="50"/>
      <c r="C90" s="59"/>
      <c r="E90" s="36">
        <v>41940.0</v>
      </c>
      <c r="F90" t="str">
        <f t="shared" si="2"/>
        <v>2014-10</v>
      </c>
      <c r="H90" s="52"/>
      <c r="I90" s="44"/>
      <c r="J90" s="45">
        <v>0.0</v>
      </c>
    </row>
    <row r="91">
      <c r="B91" s="50"/>
      <c r="C91" s="59"/>
      <c r="E91" s="36">
        <v>41947.0</v>
      </c>
      <c r="F91" t="str">
        <f t="shared" si="2"/>
        <v>2014-11</v>
      </c>
      <c r="H91" s="52"/>
      <c r="I91" s="44" t="str">
        <f t="shared" ref="I91:I100" si="4">C91</f>
        <v/>
      </c>
      <c r="J91" s="45">
        <v>275.0</v>
      </c>
    </row>
    <row r="92">
      <c r="B92" s="50"/>
      <c r="C92" s="59"/>
      <c r="E92" s="36">
        <v>41931.0</v>
      </c>
      <c r="F92" t="str">
        <f t="shared" si="2"/>
        <v>2014-10</v>
      </c>
      <c r="H92" s="52"/>
      <c r="I92" s="44" t="str">
        <f t="shared" si="4"/>
        <v/>
      </c>
      <c r="J92" s="45">
        <v>84.0</v>
      </c>
    </row>
    <row r="93">
      <c r="B93" s="50"/>
      <c r="C93" s="59"/>
      <c r="E93" s="36">
        <v>41948.0</v>
      </c>
      <c r="F93" t="str">
        <f t="shared" si="2"/>
        <v>2014-11</v>
      </c>
      <c r="H93" s="52"/>
      <c r="I93" s="44" t="str">
        <f t="shared" si="4"/>
        <v/>
      </c>
      <c r="J93" s="45">
        <v>184.0</v>
      </c>
    </row>
    <row r="94">
      <c r="B94" s="50"/>
      <c r="C94" s="59"/>
      <c r="E94" s="36">
        <v>41958.0</v>
      </c>
      <c r="F94" t="str">
        <f t="shared" si="2"/>
        <v>2014-11</v>
      </c>
      <c r="H94" s="52"/>
      <c r="I94" s="44" t="str">
        <f t="shared" si="4"/>
        <v/>
      </c>
      <c r="J94" s="45">
        <v>0.0</v>
      </c>
    </row>
    <row r="95">
      <c r="B95" s="50"/>
      <c r="C95" s="59"/>
      <c r="E95" s="36">
        <v>41973.0</v>
      </c>
      <c r="F95" t="str">
        <f t="shared" si="2"/>
        <v>2014-11</v>
      </c>
      <c r="H95" s="52"/>
      <c r="I95" s="44" t="str">
        <f t="shared" si="4"/>
        <v/>
      </c>
      <c r="J95" s="45">
        <v>0.0</v>
      </c>
    </row>
    <row r="96">
      <c r="B96" s="50"/>
      <c r="C96" s="59"/>
      <c r="E96" s="36">
        <v>41982.0</v>
      </c>
      <c r="F96" t="str">
        <f t="shared" si="2"/>
        <v>2014-12</v>
      </c>
      <c r="H96" s="52"/>
      <c r="I96" s="44" t="str">
        <f t="shared" si="4"/>
        <v/>
      </c>
      <c r="J96" s="45">
        <v>533.0</v>
      </c>
    </row>
    <row r="97">
      <c r="B97" s="50"/>
      <c r="C97" s="59"/>
      <c r="E97" s="36">
        <v>41996.0</v>
      </c>
      <c r="F97" t="str">
        <f t="shared" si="2"/>
        <v>2014-12</v>
      </c>
      <c r="H97" s="52"/>
      <c r="I97" s="44" t="str">
        <f t="shared" si="4"/>
        <v/>
      </c>
      <c r="J97" s="45">
        <v>0.0</v>
      </c>
    </row>
    <row r="98">
      <c r="B98" s="50"/>
      <c r="C98" s="59"/>
      <c r="E98" s="36">
        <v>41983.0</v>
      </c>
      <c r="F98" t="str">
        <f t="shared" si="2"/>
        <v>2014-12</v>
      </c>
      <c r="H98" s="52"/>
      <c r="I98" s="44" t="str">
        <f t="shared" si="4"/>
        <v/>
      </c>
      <c r="J98" s="45">
        <v>0.0</v>
      </c>
    </row>
    <row r="99">
      <c r="B99" s="50"/>
      <c r="C99" s="59"/>
      <c r="E99" s="36">
        <v>41996.0</v>
      </c>
      <c r="F99" t="str">
        <f t="shared" si="2"/>
        <v>2014-12</v>
      </c>
      <c r="H99" s="52"/>
      <c r="I99" s="44" t="str">
        <f t="shared" si="4"/>
        <v/>
      </c>
      <c r="J99" s="45">
        <v>184.0</v>
      </c>
    </row>
    <row r="100">
      <c r="B100" s="50"/>
      <c r="C100" s="59"/>
      <c r="E100" s="36">
        <v>42002.0</v>
      </c>
      <c r="F100" t="str">
        <f t="shared" si="2"/>
        <v>2014-12</v>
      </c>
      <c r="H100" s="52"/>
      <c r="I100" s="44" t="str">
        <f t="shared" si="4"/>
        <v/>
      </c>
      <c r="J100" s="45">
        <v>0.0</v>
      </c>
    </row>
    <row r="101">
      <c r="B101" s="50"/>
      <c r="C101" s="59"/>
      <c r="E101" s="36">
        <v>42015.0</v>
      </c>
      <c r="F101" t="str">
        <f t="shared" si="2"/>
        <v>2015-01</v>
      </c>
      <c r="H101" s="52"/>
      <c r="I101" s="44"/>
      <c r="J101" s="45">
        <v>0.0</v>
      </c>
    </row>
    <row r="102">
      <c r="B102" s="50"/>
      <c r="C102" s="59"/>
      <c r="E102" s="36">
        <v>42043.0</v>
      </c>
      <c r="F102" t="str">
        <f t="shared" si="2"/>
        <v>2015-02</v>
      </c>
      <c r="H102" s="52"/>
      <c r="I102" s="44"/>
      <c r="J102" s="45">
        <v>674.0</v>
      </c>
    </row>
    <row r="103">
      <c r="B103" s="50"/>
      <c r="C103" s="59"/>
      <c r="E103" s="36">
        <v>42108.0</v>
      </c>
      <c r="F103" t="str">
        <f t="shared" si="2"/>
        <v>2015-04</v>
      </c>
      <c r="H103" s="52"/>
      <c r="I103" s="44"/>
      <c r="J103" s="45">
        <v>0.0</v>
      </c>
    </row>
    <row r="104">
      <c r="B104" s="50"/>
      <c r="C104" s="59"/>
      <c r="E104" s="36">
        <v>42043.0</v>
      </c>
      <c r="F104" t="str">
        <f t="shared" si="2"/>
        <v>2015-02</v>
      </c>
      <c r="H104" s="52"/>
      <c r="I104" s="44"/>
      <c r="J104" s="45">
        <v>184.0</v>
      </c>
    </row>
    <row r="105">
      <c r="B105" s="50"/>
      <c r="C105" s="59"/>
      <c r="E105" s="36">
        <v>42051.0</v>
      </c>
      <c r="F105" t="str">
        <f t="shared" si="2"/>
        <v>2015-02</v>
      </c>
      <c r="H105" s="52"/>
      <c r="I105" s="44"/>
      <c r="J105" s="45">
        <v>0.0</v>
      </c>
    </row>
    <row r="106">
      <c r="B106" s="50"/>
      <c r="C106" s="59"/>
      <c r="E106" s="36">
        <v>42060.0</v>
      </c>
      <c r="F106" t="str">
        <f t="shared" si="2"/>
        <v>2015-02</v>
      </c>
      <c r="H106" s="52"/>
      <c r="I106" s="44"/>
      <c r="J106" s="45">
        <v>0.0</v>
      </c>
    </row>
    <row r="107">
      <c r="B107" s="50"/>
      <c r="C107" s="59"/>
      <c r="E107" s="36">
        <v>42064.0</v>
      </c>
      <c r="F107" t="str">
        <f t="shared" si="2"/>
        <v>2015-03</v>
      </c>
      <c r="H107" s="52"/>
      <c r="I107" s="44"/>
      <c r="J107" s="45">
        <v>0.0</v>
      </c>
    </row>
    <row r="108">
      <c r="B108" s="50"/>
      <c r="C108" s="59"/>
      <c r="E108" s="36">
        <v>42072.0</v>
      </c>
      <c r="F108" t="str">
        <f t="shared" si="2"/>
        <v>2015-03</v>
      </c>
      <c r="H108" s="52"/>
      <c r="I108" s="44"/>
      <c r="J108" s="45">
        <v>0.0</v>
      </c>
    </row>
    <row r="109">
      <c r="B109" s="50"/>
      <c r="C109" s="59"/>
      <c r="E109" s="36">
        <v>42091.0</v>
      </c>
      <c r="F109" t="str">
        <f t="shared" si="2"/>
        <v>2015-03</v>
      </c>
      <c r="H109" s="52"/>
      <c r="I109" s="44"/>
      <c r="J109" s="45">
        <v>0.0</v>
      </c>
    </row>
    <row r="110">
      <c r="B110" s="50"/>
      <c r="C110" s="59"/>
      <c r="E110" s="36">
        <v>42098.0</v>
      </c>
      <c r="F110" t="str">
        <f t="shared" si="2"/>
        <v>2015-04</v>
      </c>
      <c r="H110" s="52"/>
      <c r="I110" s="44"/>
      <c r="J110" s="45">
        <v>0.0</v>
      </c>
    </row>
    <row r="111">
      <c r="B111" s="50"/>
      <c r="C111" s="59"/>
      <c r="E111" s="36">
        <v>42108.0</v>
      </c>
      <c r="F111" t="str">
        <f t="shared" si="2"/>
        <v>2015-04</v>
      </c>
      <c r="H111" s="52"/>
      <c r="I111" s="44"/>
      <c r="J111" s="45">
        <v>0.0</v>
      </c>
    </row>
    <row r="112">
      <c r="B112" s="50"/>
      <c r="C112" s="59"/>
      <c r="E112" s="36">
        <v>42108.0</v>
      </c>
      <c r="F112" t="str">
        <f t="shared" si="2"/>
        <v>2015-04</v>
      </c>
      <c r="H112" s="52"/>
      <c r="I112" s="44"/>
      <c r="J112" s="45">
        <v>342.0</v>
      </c>
    </row>
    <row r="113">
      <c r="B113" s="50"/>
      <c r="C113" s="59"/>
      <c r="E113" s="36">
        <v>42384.0</v>
      </c>
      <c r="F113" t="str">
        <f t="shared" si="2"/>
        <v>2016-01</v>
      </c>
      <c r="H113" s="52"/>
      <c r="I113" s="44"/>
      <c r="J113" s="45">
        <v>0.0</v>
      </c>
    </row>
    <row r="114">
      <c r="B114" s="50"/>
      <c r="C114" s="59"/>
      <c r="E114" s="36">
        <v>42091.0</v>
      </c>
      <c r="F114" t="str">
        <f t="shared" si="2"/>
        <v>2015-03</v>
      </c>
      <c r="H114" s="52"/>
      <c r="I114" s="44"/>
      <c r="J114" s="45">
        <v>0.0</v>
      </c>
    </row>
    <row r="115">
      <c r="B115" s="50"/>
      <c r="C115" s="59"/>
      <c r="E115" s="36">
        <v>42108.0</v>
      </c>
      <c r="F115" t="str">
        <f t="shared" si="2"/>
        <v>2015-04</v>
      </c>
      <c r="H115" s="52"/>
      <c r="I115" s="44"/>
      <c r="J115" s="45">
        <v>0.0</v>
      </c>
    </row>
    <row r="116">
      <c r="B116" s="50"/>
      <c r="C116" s="59"/>
      <c r="E116" s="36">
        <v>42126.0</v>
      </c>
      <c r="F116" t="str">
        <f t="shared" si="2"/>
        <v>2015-05</v>
      </c>
      <c r="H116" s="52"/>
      <c r="I116" s="44"/>
      <c r="J116" s="45">
        <v>0.0</v>
      </c>
    </row>
    <row r="117">
      <c r="B117" s="50"/>
      <c r="C117" s="59"/>
      <c r="E117" s="36">
        <v>42138.0</v>
      </c>
      <c r="F117" t="str">
        <f t="shared" si="2"/>
        <v>2015-05</v>
      </c>
      <c r="H117" s="52"/>
      <c r="I117" s="44"/>
      <c r="J117" s="45">
        <v>0.0</v>
      </c>
    </row>
    <row r="118">
      <c r="B118" s="50"/>
      <c r="C118" s="59"/>
      <c r="E118" s="36">
        <v>42156.0</v>
      </c>
      <c r="F118" t="str">
        <f t="shared" si="2"/>
        <v>2015-06</v>
      </c>
      <c r="H118" s="52"/>
      <c r="I118" s="44"/>
      <c r="J118" s="45">
        <v>582.0</v>
      </c>
    </row>
    <row r="119">
      <c r="B119" s="50"/>
      <c r="C119" s="59"/>
      <c r="E119" s="36">
        <v>42383.0</v>
      </c>
      <c r="F119" t="str">
        <f t="shared" si="2"/>
        <v>2016-01</v>
      </c>
      <c r="H119" s="52"/>
      <c r="I119" s="44"/>
      <c r="J119" s="45">
        <v>0.0</v>
      </c>
    </row>
    <row r="120">
      <c r="B120" s="50"/>
      <c r="C120" s="59"/>
      <c r="E120" s="36">
        <v>42138.0</v>
      </c>
      <c r="F120" t="str">
        <f t="shared" si="2"/>
        <v>2015-05</v>
      </c>
      <c r="H120" s="52"/>
      <c r="I120" s="44"/>
      <c r="J120" s="45">
        <v>0.0</v>
      </c>
    </row>
    <row r="121">
      <c r="B121" s="50"/>
      <c r="C121" s="59"/>
      <c r="E121" s="36">
        <v>42149.0</v>
      </c>
      <c r="F121" t="str">
        <f t="shared" si="2"/>
        <v>2015-05</v>
      </c>
      <c r="H121" s="52"/>
      <c r="I121" s="44"/>
      <c r="J121" s="45">
        <v>0.0</v>
      </c>
    </row>
    <row r="122">
      <c r="B122" s="50"/>
      <c r="C122" s="59"/>
      <c r="E122" s="36">
        <v>42168.0</v>
      </c>
      <c r="F122" t="str">
        <f t="shared" si="2"/>
        <v>2015-06</v>
      </c>
      <c r="H122" s="52"/>
      <c r="I122" s="44"/>
      <c r="J122" s="45">
        <v>0.0</v>
      </c>
    </row>
    <row r="123">
      <c r="B123" s="50"/>
      <c r="C123" s="59"/>
      <c r="E123" s="36">
        <v>42171.0</v>
      </c>
      <c r="F123" t="str">
        <f t="shared" si="2"/>
        <v>2015-06</v>
      </c>
      <c r="H123" s="52"/>
      <c r="I123" s="44"/>
      <c r="J123" s="45">
        <v>0.0</v>
      </c>
    </row>
    <row r="124">
      <c r="B124" s="50"/>
      <c r="C124" s="59"/>
      <c r="E124" s="36">
        <v>42173.0</v>
      </c>
      <c r="F124" t="str">
        <f t="shared" si="2"/>
        <v>2015-06</v>
      </c>
      <c r="H124" s="52"/>
      <c r="I124" s="44"/>
      <c r="J124" s="45">
        <v>0.0</v>
      </c>
    </row>
    <row r="125">
      <c r="B125" s="50"/>
      <c r="C125" s="59"/>
      <c r="E125" s="36">
        <v>42191.0</v>
      </c>
      <c r="F125" t="str">
        <f t="shared" si="2"/>
        <v>2015-07</v>
      </c>
      <c r="H125" s="52"/>
      <c r="I125" s="44"/>
      <c r="J125" s="45">
        <v>0.0</v>
      </c>
    </row>
    <row r="126">
      <c r="B126" s="50"/>
      <c r="C126" s="59"/>
      <c r="E126" s="36">
        <v>42199.0</v>
      </c>
      <c r="F126" t="str">
        <f t="shared" si="2"/>
        <v>2015-07</v>
      </c>
      <c r="H126" s="52"/>
      <c r="I126" s="44"/>
      <c r="J126" s="45">
        <v>0.0</v>
      </c>
    </row>
    <row r="127">
      <c r="B127" s="50"/>
      <c r="C127" s="59"/>
      <c r="E127" s="36">
        <v>42205.0</v>
      </c>
      <c r="F127" t="str">
        <f t="shared" si="2"/>
        <v>2015-07</v>
      </c>
      <c r="H127" s="52"/>
      <c r="I127" s="44"/>
      <c r="J127" s="45">
        <v>0.0</v>
      </c>
    </row>
    <row r="128">
      <c r="B128" s="50"/>
      <c r="C128" s="59"/>
      <c r="E128" s="36">
        <v>42216.0</v>
      </c>
      <c r="F128" t="str">
        <f t="shared" si="2"/>
        <v>2015-07</v>
      </c>
      <c r="H128" s="52"/>
      <c r="I128" s="44"/>
      <c r="J128" s="45">
        <v>0.0</v>
      </c>
    </row>
    <row r="129">
      <c r="B129" s="50"/>
      <c r="C129" s="59"/>
      <c r="E129" s="36">
        <v>42225.0</v>
      </c>
      <c r="F129" t="str">
        <f t="shared" si="2"/>
        <v>2015-08</v>
      </c>
      <c r="H129" s="52"/>
      <c r="I129" s="44"/>
      <c r="J129" s="45">
        <v>0.0</v>
      </c>
    </row>
    <row r="130">
      <c r="B130" s="50"/>
      <c r="C130" s="59"/>
      <c r="E130" s="36">
        <v>42229.0</v>
      </c>
      <c r="F130" t="str">
        <f t="shared" si="2"/>
        <v>2015-08</v>
      </c>
      <c r="H130" s="52"/>
      <c r="I130" s="44"/>
      <c r="J130" s="45">
        <v>0.0</v>
      </c>
    </row>
    <row r="131">
      <c r="B131" s="50"/>
      <c r="C131" s="59"/>
      <c r="E131" s="36">
        <v>42238.0</v>
      </c>
      <c r="F131" t="str">
        <f t="shared" si="2"/>
        <v>2015-08</v>
      </c>
      <c r="H131" s="52"/>
      <c r="I131" s="44"/>
      <c r="J131" s="45">
        <v>0.0</v>
      </c>
    </row>
    <row r="132">
      <c r="B132" s="50"/>
      <c r="C132" s="59"/>
      <c r="E132" s="36">
        <v>42253.0</v>
      </c>
      <c r="F132" t="str">
        <f t="shared" si="2"/>
        <v>2015-09</v>
      </c>
      <c r="H132" s="52"/>
      <c r="I132" s="44"/>
      <c r="J132" s="45">
        <v>0.0</v>
      </c>
    </row>
    <row r="133">
      <c r="B133" s="50"/>
      <c r="C133" s="59"/>
      <c r="E133" s="36">
        <v>42325.0</v>
      </c>
      <c r="F133" t="str">
        <f t="shared" si="2"/>
        <v>2015-11</v>
      </c>
      <c r="H133" s="52"/>
      <c r="I133" s="44"/>
      <c r="J133" s="45">
        <v>0.0</v>
      </c>
    </row>
    <row r="134">
      <c r="B134" s="50"/>
      <c r="C134" s="59"/>
      <c r="E134" s="36">
        <v>42383.0</v>
      </c>
      <c r="F134" t="str">
        <f t="shared" si="2"/>
        <v>2016-01</v>
      </c>
      <c r="H134" s="52"/>
      <c r="I134" s="44"/>
      <c r="J134" s="45">
        <v>0.0</v>
      </c>
    </row>
    <row r="135">
      <c r="B135" s="50"/>
      <c r="C135" s="59"/>
      <c r="E135" s="36">
        <v>42387.0</v>
      </c>
      <c r="F135" t="str">
        <f t="shared" si="2"/>
        <v>2016-01</v>
      </c>
      <c r="H135" s="52"/>
      <c r="I135" s="44"/>
      <c r="J135" s="45">
        <v>263.0</v>
      </c>
    </row>
    <row r="136">
      <c r="B136" s="50"/>
      <c r="C136" s="59"/>
      <c r="E136" s="36">
        <v>40712.0</v>
      </c>
      <c r="F136" t="str">
        <f t="shared" si="2"/>
        <v>2011-06</v>
      </c>
      <c r="H136" s="52"/>
      <c r="I136" s="44"/>
      <c r="J136" s="45">
        <v>110.0</v>
      </c>
    </row>
    <row r="137">
      <c r="B137" s="50"/>
      <c r="C137" s="59"/>
      <c r="E137" s="36">
        <v>40745.0</v>
      </c>
      <c r="F137" t="str">
        <f t="shared" si="2"/>
        <v>2011-07</v>
      </c>
      <c r="H137" s="52"/>
      <c r="I137" s="44"/>
      <c r="J137" s="45">
        <v>307.0</v>
      </c>
    </row>
    <row r="138">
      <c r="B138" s="50"/>
      <c r="C138" s="59"/>
      <c r="E138" s="36">
        <v>40766.0</v>
      </c>
      <c r="F138" t="str">
        <f t="shared" si="2"/>
        <v>2011-08</v>
      </c>
      <c r="H138" s="52"/>
      <c r="I138" s="44"/>
      <c r="J138" s="45">
        <v>0.0</v>
      </c>
    </row>
    <row r="139">
      <c r="B139" s="50"/>
      <c r="C139" s="59"/>
      <c r="E139" s="36">
        <v>42168.0</v>
      </c>
      <c r="F139" t="str">
        <f t="shared" si="2"/>
        <v>2015-06</v>
      </c>
      <c r="H139" s="52"/>
      <c r="I139" s="44"/>
      <c r="J139" s="45">
        <v>0.0</v>
      </c>
    </row>
    <row r="140">
      <c r="B140" s="50"/>
      <c r="C140" s="59"/>
      <c r="E140" s="36">
        <v>42197.0</v>
      </c>
      <c r="F140" t="str">
        <f t="shared" si="2"/>
        <v>2015-07</v>
      </c>
      <c r="H140" s="52"/>
      <c r="I140" s="44"/>
      <c r="J140" s="45">
        <v>0.0</v>
      </c>
    </row>
    <row r="141">
      <c r="B141" s="50"/>
      <c r="C141" s="59"/>
      <c r="E141" s="36">
        <v>42204.0</v>
      </c>
      <c r="F141" t="str">
        <f t="shared" si="2"/>
        <v>2015-07</v>
      </c>
      <c r="H141" s="52"/>
      <c r="I141" s="44"/>
      <c r="J141" s="45">
        <v>0.0</v>
      </c>
    </row>
    <row r="142">
      <c r="B142" s="50"/>
      <c r="C142" s="59"/>
      <c r="E142" s="36">
        <v>42216.0</v>
      </c>
      <c r="F142" t="str">
        <f t="shared" si="2"/>
        <v>2015-07</v>
      </c>
      <c r="H142" s="52"/>
      <c r="I142" s="44"/>
      <c r="J142" s="45">
        <v>0.0</v>
      </c>
    </row>
    <row r="143">
      <c r="B143" s="50"/>
      <c r="C143" s="59"/>
      <c r="E143" s="36">
        <v>42226.0</v>
      </c>
      <c r="F143" t="str">
        <f t="shared" si="2"/>
        <v>2015-08</v>
      </c>
      <c r="H143" s="52"/>
      <c r="I143" s="44"/>
      <c r="J143" s="45">
        <v>0.0</v>
      </c>
    </row>
    <row r="144">
      <c r="B144" s="50"/>
      <c r="C144" s="59"/>
      <c r="E144" s="36">
        <v>42229.0</v>
      </c>
      <c r="F144" t="str">
        <f t="shared" si="2"/>
        <v>2015-08</v>
      </c>
      <c r="H144" s="52"/>
      <c r="I144" s="44"/>
      <c r="J144" s="45">
        <v>0.0</v>
      </c>
    </row>
    <row r="145">
      <c r="B145" s="50"/>
      <c r="C145" s="59"/>
      <c r="E145" s="36">
        <v>42238.0</v>
      </c>
      <c r="F145" t="str">
        <f t="shared" si="2"/>
        <v>2015-08</v>
      </c>
      <c r="H145" s="52"/>
      <c r="I145" s="44"/>
      <c r="J145" s="45">
        <v>0.0</v>
      </c>
    </row>
    <row r="146">
      <c r="B146" s="50"/>
      <c r="C146" s="59"/>
      <c r="E146" s="36">
        <v>42253.0</v>
      </c>
      <c r="F146" t="str">
        <f t="shared" si="2"/>
        <v>2015-09</v>
      </c>
      <c r="H146" s="52"/>
      <c r="I146" s="44"/>
      <c r="J146" s="45">
        <v>798.0</v>
      </c>
    </row>
    <row r="147">
      <c r="B147" s="50"/>
      <c r="C147" s="59"/>
      <c r="E147" s="36">
        <v>42384.0</v>
      </c>
      <c r="F147" t="str">
        <f t="shared" si="2"/>
        <v>2016-01</v>
      </c>
      <c r="H147" s="52"/>
      <c r="I147" s="44"/>
      <c r="J147" s="45">
        <v>0.0</v>
      </c>
    </row>
    <row r="148">
      <c r="B148" s="50"/>
      <c r="C148" s="59"/>
      <c r="E148" s="36">
        <v>42233.0</v>
      </c>
      <c r="F148" t="str">
        <f t="shared" si="2"/>
        <v>2015-08</v>
      </c>
      <c r="H148" s="52"/>
      <c r="I148" s="44"/>
      <c r="J148" s="45">
        <v>0.0</v>
      </c>
    </row>
    <row r="149">
      <c r="B149" s="50"/>
      <c r="C149" s="59"/>
      <c r="E149" s="36">
        <v>42238.0</v>
      </c>
      <c r="F149" t="str">
        <f t="shared" si="2"/>
        <v>2015-08</v>
      </c>
      <c r="H149" s="52"/>
      <c r="I149" s="44"/>
      <c r="J149" s="45">
        <v>0.0</v>
      </c>
    </row>
    <row r="150">
      <c r="B150" s="50"/>
      <c r="C150" s="59"/>
      <c r="E150" s="36">
        <v>42253.0</v>
      </c>
      <c r="F150" t="str">
        <f t="shared" si="2"/>
        <v>2015-09</v>
      </c>
      <c r="H150" s="52"/>
      <c r="I150" s="44"/>
      <c r="J150" s="45">
        <v>0.0</v>
      </c>
    </row>
    <row r="151">
      <c r="B151" s="50"/>
      <c r="C151" s="59"/>
      <c r="E151" s="36">
        <v>42259.0</v>
      </c>
      <c r="F151" t="str">
        <f t="shared" si="2"/>
        <v>2015-09</v>
      </c>
      <c r="H151" s="52"/>
      <c r="I151" s="44"/>
      <c r="J151" s="45">
        <v>0.0</v>
      </c>
    </row>
    <row r="152">
      <c r="B152" s="50"/>
      <c r="C152" s="59"/>
      <c r="E152" s="36">
        <v>42282.0</v>
      </c>
      <c r="F152" t="str">
        <f t="shared" si="2"/>
        <v>2015-10</v>
      </c>
      <c r="H152" s="52"/>
      <c r="I152" s="44"/>
      <c r="J152" s="45">
        <v>0.0</v>
      </c>
    </row>
    <row r="153">
      <c r="B153" s="50"/>
      <c r="C153" s="59"/>
      <c r="E153" s="36">
        <v>42325.0</v>
      </c>
      <c r="F153" t="str">
        <f t="shared" si="2"/>
        <v>2015-11</v>
      </c>
      <c r="H153" s="52"/>
      <c r="I153" s="44"/>
      <c r="J153" s="45">
        <v>372.0</v>
      </c>
    </row>
    <row r="154">
      <c r="B154" s="50"/>
      <c r="C154" s="59"/>
      <c r="E154" s="36">
        <v>42383.0</v>
      </c>
      <c r="F154" t="str">
        <f t="shared" si="2"/>
        <v>2016-01</v>
      </c>
      <c r="H154" s="52"/>
      <c r="I154" s="44"/>
      <c r="J154" s="45">
        <v>0.0</v>
      </c>
    </row>
    <row r="155">
      <c r="B155" s="50"/>
      <c r="C155" s="59"/>
      <c r="E155" s="36">
        <v>42282.0</v>
      </c>
      <c r="F155" t="str">
        <f t="shared" si="2"/>
        <v>2015-10</v>
      </c>
      <c r="H155" s="52"/>
      <c r="I155" s="44"/>
      <c r="J155" s="45">
        <v>0.0</v>
      </c>
    </row>
    <row r="156">
      <c r="B156" s="50"/>
      <c r="C156" s="59"/>
      <c r="E156" s="36">
        <v>42301.0</v>
      </c>
      <c r="F156" t="str">
        <f t="shared" si="2"/>
        <v>2015-10</v>
      </c>
      <c r="H156" s="52"/>
      <c r="I156" s="44"/>
      <c r="J156" s="45">
        <v>0.0</v>
      </c>
    </row>
    <row r="157">
      <c r="B157" s="50"/>
      <c r="C157" s="59"/>
      <c r="E157" s="36">
        <v>42325.0</v>
      </c>
      <c r="F157" t="str">
        <f t="shared" si="2"/>
        <v>2015-11</v>
      </c>
      <c r="H157" s="52"/>
      <c r="I157" s="44"/>
      <c r="J157" s="45">
        <v>0.0</v>
      </c>
    </row>
    <row r="158">
      <c r="B158" s="50"/>
      <c r="C158" s="59"/>
      <c r="E158" s="36">
        <v>42383.0</v>
      </c>
      <c r="F158" t="str">
        <f t="shared" si="2"/>
        <v>2016-01</v>
      </c>
      <c r="H158" s="52"/>
      <c r="I158" s="44"/>
      <c r="J158" s="45">
        <v>162.0</v>
      </c>
    </row>
    <row r="159">
      <c r="B159" s="50"/>
      <c r="C159" s="59"/>
      <c r="E159" s="36">
        <v>42387.0</v>
      </c>
      <c r="F159" t="str">
        <f t="shared" si="2"/>
        <v>2016-01</v>
      </c>
      <c r="H159" s="52"/>
      <c r="I159" s="44"/>
      <c r="J159" s="45">
        <v>0.0</v>
      </c>
    </row>
    <row r="160">
      <c r="B160" s="50"/>
      <c r="C160" s="59"/>
      <c r="E160" s="36">
        <v>42325.0</v>
      </c>
      <c r="F160" t="str">
        <f t="shared" si="2"/>
        <v>2015-11</v>
      </c>
      <c r="H160" s="52"/>
      <c r="I160" s="44"/>
      <c r="J160" s="45">
        <v>0.0</v>
      </c>
    </row>
    <row r="161">
      <c r="B161" s="50"/>
      <c r="C161" s="59"/>
      <c r="E161" s="36">
        <v>42337.0</v>
      </c>
      <c r="F161" t="str">
        <f t="shared" si="2"/>
        <v>2015-11</v>
      </c>
      <c r="H161" s="52"/>
      <c r="I161" s="44"/>
      <c r="J161" s="45">
        <v>0.0</v>
      </c>
    </row>
    <row r="162">
      <c r="B162" s="50"/>
      <c r="C162" s="59"/>
      <c r="E162" s="36">
        <v>42357.0</v>
      </c>
      <c r="F162" t="str">
        <f t="shared" si="2"/>
        <v>2015-12</v>
      </c>
      <c r="H162" s="52"/>
      <c r="I162" s="44"/>
      <c r="J162" s="45">
        <v>0.0</v>
      </c>
    </row>
    <row r="163">
      <c r="B163" s="50"/>
      <c r="C163" s="59"/>
      <c r="E163" s="36">
        <v>42387.0</v>
      </c>
      <c r="F163" t="str">
        <f t="shared" si="2"/>
        <v>2016-01</v>
      </c>
      <c r="H163" s="52"/>
      <c r="I163" s="44"/>
      <c r="J163" s="45">
        <v>0.0</v>
      </c>
    </row>
    <row r="164">
      <c r="B164" s="50"/>
      <c r="C164" s="59"/>
      <c r="E164" s="36">
        <v>42405.0</v>
      </c>
      <c r="F164" t="str">
        <f t="shared" si="2"/>
        <v>2016-02</v>
      </c>
      <c r="H164" s="52"/>
      <c r="I164" s="44"/>
      <c r="J164" s="45">
        <v>157.0</v>
      </c>
    </row>
    <row r="165">
      <c r="B165" s="50"/>
      <c r="C165" s="59"/>
      <c r="E165" s="36">
        <v>42446.0</v>
      </c>
      <c r="F165" t="str">
        <f t="shared" si="2"/>
        <v>2016-03</v>
      </c>
      <c r="H165" s="52"/>
      <c r="I165" s="44"/>
      <c r="J165" s="45">
        <v>0.0</v>
      </c>
    </row>
    <row r="166">
      <c r="B166" s="50"/>
      <c r="C166" s="59"/>
      <c r="E166" s="36">
        <v>42387.0</v>
      </c>
      <c r="F166" t="str">
        <f t="shared" si="2"/>
        <v>2016-01</v>
      </c>
      <c r="H166" s="52"/>
      <c r="I166" s="44"/>
      <c r="J166" s="45">
        <v>0.0</v>
      </c>
    </row>
    <row r="167">
      <c r="B167" s="50"/>
      <c r="C167" s="59"/>
      <c r="E167" s="36">
        <v>42405.0</v>
      </c>
      <c r="F167" t="str">
        <f t="shared" si="2"/>
        <v>2016-02</v>
      </c>
      <c r="H167" s="52"/>
      <c r="I167" s="44"/>
      <c r="J167" s="45">
        <v>0.0</v>
      </c>
    </row>
    <row r="168">
      <c r="B168" s="50"/>
      <c r="C168" s="59"/>
      <c r="E168" s="36">
        <v>42421.0</v>
      </c>
      <c r="F168" t="str">
        <f t="shared" si="2"/>
        <v>2016-02</v>
      </c>
      <c r="H168" s="52"/>
      <c r="I168" s="44"/>
      <c r="J168" s="45">
        <v>0.0</v>
      </c>
    </row>
    <row r="169">
      <c r="B169" s="50"/>
      <c r="C169" s="59"/>
      <c r="E169" s="36">
        <v>42429.0</v>
      </c>
      <c r="F169" t="str">
        <f t="shared" si="2"/>
        <v>2016-02</v>
      </c>
      <c r="H169" s="52"/>
      <c r="I169" s="44"/>
      <c r="J169" s="45">
        <v>0.0</v>
      </c>
    </row>
    <row r="170">
      <c r="B170" s="50"/>
      <c r="C170" s="59"/>
      <c r="E170" s="36">
        <v>42430.0</v>
      </c>
      <c r="F170" t="str">
        <f t="shared" si="2"/>
        <v>2016-03</v>
      </c>
      <c r="H170" s="52"/>
      <c r="I170" s="44"/>
      <c r="J170" s="45">
        <v>0.0</v>
      </c>
    </row>
    <row r="171">
      <c r="B171" s="50"/>
      <c r="C171" s="59"/>
      <c r="E171" s="36">
        <v>42437.0</v>
      </c>
      <c r="F171" t="str">
        <f t="shared" si="2"/>
        <v>2016-03</v>
      </c>
      <c r="H171" s="52"/>
      <c r="I171" s="44"/>
      <c r="J171" s="45">
        <v>0.0</v>
      </c>
    </row>
    <row r="172">
      <c r="B172" s="50"/>
      <c r="C172" s="59"/>
      <c r="E172" s="36">
        <v>42447.0</v>
      </c>
      <c r="F172" t="str">
        <f t="shared" si="2"/>
        <v>2016-03</v>
      </c>
      <c r="H172" s="52"/>
      <c r="I172" s="44"/>
      <c r="J172" s="45">
        <v>0.0</v>
      </c>
    </row>
    <row r="173">
      <c r="B173" s="50"/>
      <c r="C173" s="59"/>
      <c r="E173" s="36">
        <v>42463.0</v>
      </c>
      <c r="F173" t="str">
        <f t="shared" si="2"/>
        <v>2016-04</v>
      </c>
      <c r="H173" s="52"/>
      <c r="I173" s="44"/>
      <c r="J173" s="45">
        <v>0.0</v>
      </c>
    </row>
    <row r="174">
      <c r="B174" s="50"/>
      <c r="C174" s="59"/>
      <c r="E174" s="36">
        <v>42471.0</v>
      </c>
      <c r="F174" t="str">
        <f t="shared" si="2"/>
        <v>2016-04</v>
      </c>
      <c r="H174" s="52"/>
      <c r="I174" s="44"/>
      <c r="J174" s="45">
        <v>214.0</v>
      </c>
    </row>
    <row r="175">
      <c r="B175" s="50"/>
      <c r="C175" s="59"/>
      <c r="E175" s="36">
        <v>42527.0</v>
      </c>
      <c r="F175" t="str">
        <f t="shared" si="2"/>
        <v>2016-06</v>
      </c>
      <c r="H175" s="52"/>
      <c r="I175" s="44"/>
      <c r="J175" s="45">
        <v>0.0</v>
      </c>
    </row>
    <row r="176">
      <c r="B176" s="50"/>
      <c r="C176" s="59"/>
      <c r="E176" s="36">
        <v>42429.0</v>
      </c>
      <c r="F176" t="str">
        <f t="shared" si="2"/>
        <v>2016-02</v>
      </c>
      <c r="H176" s="52"/>
      <c r="I176" s="44"/>
      <c r="J176" s="45">
        <v>0.0</v>
      </c>
    </row>
    <row r="177">
      <c r="B177" s="50"/>
      <c r="C177" s="59"/>
      <c r="E177" s="36">
        <v>42436.0</v>
      </c>
      <c r="F177" t="str">
        <f t="shared" si="2"/>
        <v>2016-03</v>
      </c>
      <c r="H177" s="52"/>
      <c r="I177" s="44"/>
      <c r="J177" s="45">
        <v>0.0</v>
      </c>
    </row>
    <row r="178">
      <c r="B178" s="50"/>
      <c r="C178" s="59"/>
      <c r="E178" s="36">
        <v>42443.0</v>
      </c>
      <c r="F178" t="str">
        <f t="shared" si="2"/>
        <v>2016-03</v>
      </c>
      <c r="H178" s="52"/>
      <c r="I178" s="44"/>
      <c r="J178" s="45">
        <v>0.0</v>
      </c>
    </row>
    <row r="179">
      <c r="B179" s="50"/>
      <c r="C179" s="59"/>
      <c r="E179" s="36">
        <v>42463.0</v>
      </c>
      <c r="F179" t="str">
        <f t="shared" si="2"/>
        <v>2016-04</v>
      </c>
      <c r="H179" s="52"/>
      <c r="I179" s="44"/>
      <c r="J179" s="45">
        <v>0.0</v>
      </c>
    </row>
    <row r="180">
      <c r="B180" s="50"/>
      <c r="C180" s="59"/>
      <c r="E180" s="36">
        <v>42471.0</v>
      </c>
      <c r="F180" t="str">
        <f t="shared" si="2"/>
        <v>2016-04</v>
      </c>
      <c r="H180" s="52"/>
      <c r="I180" s="44"/>
      <c r="J180" s="45">
        <v>361.0</v>
      </c>
    </row>
    <row r="181">
      <c r="B181" s="50"/>
      <c r="C181" s="59"/>
      <c r="E181" s="36">
        <v>42481.0</v>
      </c>
      <c r="F181" t="str">
        <f t="shared" si="2"/>
        <v>2016-04</v>
      </c>
      <c r="H181" s="52"/>
      <c r="I181" s="44"/>
      <c r="J181" s="45">
        <v>0.0</v>
      </c>
    </row>
    <row r="182">
      <c r="B182" s="50"/>
      <c r="C182" s="59"/>
      <c r="E182" s="36">
        <v>42472.0</v>
      </c>
      <c r="F182" t="str">
        <f t="shared" si="2"/>
        <v>2016-04</v>
      </c>
      <c r="H182" s="52"/>
      <c r="I182" s="44"/>
      <c r="J182" s="45">
        <v>0.0</v>
      </c>
    </row>
    <row r="183">
      <c r="B183" s="50"/>
      <c r="C183" s="59"/>
      <c r="E183" s="36">
        <v>42487.0</v>
      </c>
      <c r="F183" t="str">
        <f t="shared" si="2"/>
        <v>2016-04</v>
      </c>
      <c r="H183" s="52"/>
      <c r="I183" s="44"/>
      <c r="J183" s="45">
        <v>184.0</v>
      </c>
    </row>
    <row r="184">
      <c r="B184" s="50"/>
      <c r="C184" s="59"/>
      <c r="E184" s="36">
        <v>42493.0</v>
      </c>
      <c r="F184" t="str">
        <f t="shared" si="2"/>
        <v>2016-05</v>
      </c>
      <c r="H184" s="52"/>
      <c r="I184" s="44"/>
      <c r="J184" s="45">
        <v>0.0</v>
      </c>
    </row>
    <row r="185">
      <c r="B185" s="50"/>
      <c r="C185" s="59"/>
      <c r="E185" s="36">
        <v>42499.0</v>
      </c>
      <c r="F185" t="str">
        <f t="shared" si="2"/>
        <v>2016-05</v>
      </c>
      <c r="H185" s="52"/>
      <c r="I185" s="44"/>
      <c r="J185" s="45">
        <v>0.0</v>
      </c>
    </row>
    <row r="186">
      <c r="B186" s="50"/>
      <c r="C186" s="59"/>
      <c r="E186" s="36">
        <v>42529.0</v>
      </c>
      <c r="F186" t="str">
        <f t="shared" si="2"/>
        <v>2016-06</v>
      </c>
      <c r="H186" s="52"/>
      <c r="I186" s="44"/>
      <c r="J186" s="45">
        <v>0.0</v>
      </c>
    </row>
    <row r="187">
      <c r="B187" s="50"/>
      <c r="C187" s="59"/>
      <c r="E187" s="36">
        <v>42548.0</v>
      </c>
      <c r="F187" t="str">
        <f t="shared" si="2"/>
        <v>2016-06</v>
      </c>
      <c r="H187" s="52"/>
      <c r="I187" s="44"/>
      <c r="J187" s="45">
        <v>350.0</v>
      </c>
    </row>
    <row r="188">
      <c r="B188" s="50"/>
      <c r="C188" s="59"/>
      <c r="E188" s="36">
        <v>42562.0</v>
      </c>
      <c r="F188" t="str">
        <f t="shared" si="2"/>
        <v>2016-07</v>
      </c>
      <c r="H188" s="52"/>
      <c r="I188" s="44"/>
      <c r="J188" s="45">
        <v>0.0</v>
      </c>
    </row>
    <row r="189">
      <c r="B189" s="50"/>
      <c r="C189" s="59"/>
      <c r="E189" s="36">
        <v>42529.0</v>
      </c>
      <c r="F189" t="str">
        <f t="shared" si="2"/>
        <v>2016-06</v>
      </c>
      <c r="H189" s="52"/>
      <c r="I189" s="44"/>
      <c r="J189" s="45">
        <v>0.0</v>
      </c>
    </row>
    <row r="190">
      <c r="B190" s="50"/>
      <c r="C190" s="59"/>
      <c r="E190" s="36">
        <v>42548.0</v>
      </c>
      <c r="F190" t="str">
        <f t="shared" si="2"/>
        <v>2016-06</v>
      </c>
      <c r="H190" s="52"/>
      <c r="I190" s="44"/>
      <c r="J190" s="45">
        <v>0.0</v>
      </c>
    </row>
    <row r="191">
      <c r="B191" s="50"/>
      <c r="C191" s="59"/>
      <c r="E191" s="36">
        <v>42556.0</v>
      </c>
      <c r="F191" t="str">
        <f t="shared" si="2"/>
        <v>2016-07</v>
      </c>
      <c r="H191" s="52"/>
      <c r="I191" s="44"/>
      <c r="J191" s="45">
        <v>0.0</v>
      </c>
    </row>
    <row r="192">
      <c r="B192" s="50"/>
      <c r="C192" s="59"/>
      <c r="E192" s="36">
        <v>42563.0</v>
      </c>
      <c r="F192" t="str">
        <f t="shared" si="2"/>
        <v>2016-07</v>
      </c>
      <c r="H192" s="52"/>
      <c r="I192" s="44"/>
      <c r="J192" s="45">
        <v>0.0</v>
      </c>
    </row>
    <row r="193">
      <c r="B193" s="50"/>
      <c r="C193" s="59"/>
      <c r="E193" s="36">
        <v>42576.0</v>
      </c>
      <c r="F193" t="str">
        <f t="shared" si="2"/>
        <v>2016-07</v>
      </c>
      <c r="H193" s="52"/>
      <c r="I193" s="44"/>
      <c r="J193" s="45">
        <v>0.0</v>
      </c>
    </row>
    <row r="194">
      <c r="B194" s="50"/>
      <c r="C194" s="59"/>
      <c r="E194" s="36">
        <v>42598.0</v>
      </c>
      <c r="F194" t="str">
        <f t="shared" si="2"/>
        <v>2016-08</v>
      </c>
      <c r="H194" s="52"/>
      <c r="I194" s="44"/>
      <c r="J194" s="45">
        <v>0.0</v>
      </c>
    </row>
    <row r="195">
      <c r="B195" s="50"/>
      <c r="C195" s="59"/>
      <c r="E195" s="36">
        <v>42613.0</v>
      </c>
      <c r="F195" t="str">
        <f t="shared" si="2"/>
        <v>2016-08</v>
      </c>
      <c r="H195" s="52"/>
      <c r="I195" s="44"/>
      <c r="J195" s="45">
        <v>370.0</v>
      </c>
    </row>
    <row r="196">
      <c r="B196" s="50"/>
      <c r="C196" s="59"/>
      <c r="E196" s="36">
        <v>42619.0</v>
      </c>
      <c r="F196" t="str">
        <f t="shared" si="2"/>
        <v>2016-09</v>
      </c>
      <c r="H196" s="52"/>
      <c r="I196" s="44"/>
      <c r="J196" s="45">
        <v>0.0</v>
      </c>
    </row>
    <row r="197">
      <c r="B197" s="50"/>
      <c r="C197" s="59"/>
      <c r="E197" s="36">
        <v>42577.0</v>
      </c>
      <c r="F197" t="str">
        <f t="shared" si="2"/>
        <v>2016-07</v>
      </c>
      <c r="H197" s="52"/>
      <c r="I197" s="44"/>
      <c r="J197" s="45">
        <v>0.0</v>
      </c>
    </row>
    <row r="198">
      <c r="B198" s="50"/>
      <c r="C198" s="59"/>
      <c r="E198" s="36">
        <v>42583.0</v>
      </c>
      <c r="F198" t="str">
        <f t="shared" si="2"/>
        <v>2016-08</v>
      </c>
      <c r="H198" s="52"/>
      <c r="I198" s="44"/>
      <c r="J198" s="45">
        <v>0.0</v>
      </c>
    </row>
    <row r="199">
      <c r="B199" s="50"/>
      <c r="C199" s="59"/>
      <c r="E199" s="36">
        <v>42598.0</v>
      </c>
      <c r="F199" t="str">
        <f t="shared" si="2"/>
        <v>2016-08</v>
      </c>
      <c r="H199" s="52"/>
      <c r="I199" s="44"/>
      <c r="J199" s="45">
        <v>0.0</v>
      </c>
    </row>
    <row r="200">
      <c r="B200" s="50"/>
      <c r="C200" s="59"/>
      <c r="E200" s="36">
        <v>42612.0</v>
      </c>
      <c r="F200" t="str">
        <f t="shared" si="2"/>
        <v>2016-08</v>
      </c>
      <c r="H200" s="52"/>
      <c r="I200" s="44"/>
      <c r="J200" s="45">
        <v>0.0</v>
      </c>
    </row>
    <row r="201">
      <c r="B201" s="50"/>
      <c r="C201" s="59"/>
      <c r="E201" s="36">
        <v>42613.0</v>
      </c>
      <c r="F201" t="str">
        <f t="shared" si="2"/>
        <v>2016-08</v>
      </c>
      <c r="H201" s="52"/>
      <c r="I201" s="44"/>
      <c r="J201" s="45">
        <v>0.0</v>
      </c>
    </row>
    <row r="202">
      <c r="B202" s="50"/>
      <c r="C202" s="59"/>
      <c r="E202" s="36">
        <v>42621.0</v>
      </c>
      <c r="F202" t="str">
        <f t="shared" si="2"/>
        <v>2016-09</v>
      </c>
      <c r="H202" s="52"/>
      <c r="I202" s="44"/>
      <c r="J202" s="45">
        <v>0.0</v>
      </c>
    </row>
    <row r="203">
      <c r="B203" s="50"/>
      <c r="C203" s="59"/>
      <c r="E203" s="36">
        <v>42628.0</v>
      </c>
      <c r="F203" t="str">
        <f t="shared" si="2"/>
        <v>2016-09</v>
      </c>
      <c r="H203" s="52"/>
      <c r="I203" s="44"/>
      <c r="J203" s="45">
        <v>0.0</v>
      </c>
    </row>
    <row r="204">
      <c r="B204" s="50"/>
      <c r="C204" s="59"/>
      <c r="E204" s="36">
        <v>42650.0</v>
      </c>
      <c r="F204" t="str">
        <f t="shared" si="2"/>
        <v>2016-10</v>
      </c>
      <c r="H204" s="52"/>
      <c r="I204" s="44"/>
      <c r="J204" s="45">
        <v>83.0</v>
      </c>
    </row>
    <row r="205">
      <c r="B205" s="50"/>
      <c r="C205" s="59"/>
      <c r="E205" s="36">
        <v>42675.0</v>
      </c>
      <c r="F205" t="str">
        <f t="shared" si="2"/>
        <v>2016-11</v>
      </c>
      <c r="H205" s="52"/>
      <c r="I205" s="44"/>
      <c r="J205" s="45">
        <v>35.0</v>
      </c>
    </row>
    <row r="206">
      <c r="B206" s="50"/>
      <c r="C206" s="59"/>
      <c r="E206" s="36">
        <v>42580.0</v>
      </c>
      <c r="F206" t="str">
        <f t="shared" si="2"/>
        <v>2016-07</v>
      </c>
      <c r="H206" s="52"/>
      <c r="I206" s="44"/>
      <c r="J206" s="45">
        <v>57.0</v>
      </c>
    </row>
    <row r="207">
      <c r="B207" s="50"/>
      <c r="C207" s="59"/>
      <c r="E207" s="36">
        <v>42583.0</v>
      </c>
      <c r="F207" t="str">
        <f t="shared" si="2"/>
        <v>2016-08</v>
      </c>
      <c r="H207" s="52"/>
      <c r="I207" s="44"/>
      <c r="J207" s="45">
        <v>37.0</v>
      </c>
    </row>
    <row r="208">
      <c r="B208" s="50"/>
      <c r="C208" s="59"/>
      <c r="E208" s="36">
        <v>42590.0</v>
      </c>
      <c r="F208" t="str">
        <f t="shared" si="2"/>
        <v>2016-08</v>
      </c>
      <c r="H208" s="52"/>
      <c r="I208" s="44"/>
      <c r="J208" s="45">
        <v>311.0</v>
      </c>
    </row>
    <row r="209">
      <c r="B209" s="50"/>
      <c r="C209" s="59"/>
      <c r="E209" s="36">
        <v>42598.0</v>
      </c>
      <c r="F209" t="str">
        <f t="shared" si="2"/>
        <v>2016-08</v>
      </c>
      <c r="H209" s="52"/>
      <c r="I209" s="44"/>
      <c r="J209" s="45">
        <v>0.0</v>
      </c>
    </row>
    <row r="210">
      <c r="B210" s="50"/>
      <c r="C210" s="59"/>
      <c r="E210" s="36">
        <v>42621.0</v>
      </c>
      <c r="F210" t="str">
        <f t="shared" si="2"/>
        <v>2016-09</v>
      </c>
      <c r="H210" s="52"/>
      <c r="I210" s="44"/>
      <c r="J210" s="45">
        <v>0.0</v>
      </c>
    </row>
    <row r="211">
      <c r="B211" s="50"/>
      <c r="C211" s="59"/>
      <c r="E211" s="36">
        <v>42626.0</v>
      </c>
      <c r="F211" t="str">
        <f t="shared" si="2"/>
        <v>2016-09</v>
      </c>
      <c r="H211" s="52"/>
      <c r="I211" s="44"/>
      <c r="J211" s="45">
        <v>0.0</v>
      </c>
    </row>
    <row r="212">
      <c r="B212" s="50"/>
      <c r="C212" s="59"/>
      <c r="E212" s="36">
        <v>42633.0</v>
      </c>
      <c r="F212" t="str">
        <f t="shared" si="2"/>
        <v>2016-09</v>
      </c>
      <c r="H212" s="52"/>
      <c r="I212" s="44"/>
      <c r="J212" s="45">
        <v>0.0</v>
      </c>
    </row>
    <row r="213">
      <c r="B213" s="50"/>
      <c r="C213" s="59"/>
      <c r="E213" s="36">
        <v>42641.0</v>
      </c>
      <c r="F213" t="str">
        <f t="shared" si="2"/>
        <v>2016-09</v>
      </c>
      <c r="H213" s="52"/>
      <c r="I213" s="44"/>
      <c r="J213" s="45">
        <v>0.0</v>
      </c>
    </row>
    <row r="214">
      <c r="B214" s="50"/>
      <c r="C214" s="59"/>
      <c r="E214" s="36">
        <v>42649.0</v>
      </c>
      <c r="F214" t="str">
        <f t="shared" si="2"/>
        <v>2016-10</v>
      </c>
      <c r="H214" s="52"/>
      <c r="I214" s="44"/>
      <c r="J214" s="45">
        <v>0.0</v>
      </c>
    </row>
    <row r="215">
      <c r="B215" s="50"/>
      <c r="C215" s="59"/>
      <c r="E215" s="36">
        <v>42661.0</v>
      </c>
      <c r="F215" t="str">
        <f t="shared" si="2"/>
        <v>2016-10</v>
      </c>
      <c r="H215" s="52"/>
      <c r="I215" s="44"/>
      <c r="J215" s="45">
        <v>751.0</v>
      </c>
    </row>
    <row r="216">
      <c r="B216" s="50"/>
      <c r="C216" s="59"/>
      <c r="E216" s="36">
        <v>42675.0</v>
      </c>
      <c r="F216" t="str">
        <f t="shared" si="2"/>
        <v>2016-11</v>
      </c>
      <c r="H216" s="52"/>
      <c r="I216" s="44"/>
      <c r="J216" s="45">
        <v>64.0</v>
      </c>
    </row>
    <row r="217">
      <c r="B217" s="50"/>
      <c r="C217" s="59"/>
      <c r="E217" s="36">
        <v>42650.0</v>
      </c>
      <c r="F217" t="str">
        <f t="shared" si="2"/>
        <v>2016-10</v>
      </c>
      <c r="H217" s="52"/>
      <c r="I217" s="44"/>
      <c r="J217" s="45">
        <v>0.0</v>
      </c>
    </row>
    <row r="218">
      <c r="B218" s="50"/>
      <c r="C218" s="59"/>
      <c r="E218" s="36">
        <v>42661.0</v>
      </c>
      <c r="F218" t="str">
        <f t="shared" si="2"/>
        <v>2016-10</v>
      </c>
      <c r="H218" s="52"/>
      <c r="I218" s="44"/>
      <c r="J218" s="45">
        <v>0.0</v>
      </c>
    </row>
    <row r="219">
      <c r="B219" s="50"/>
      <c r="C219" s="59"/>
      <c r="E219" s="36">
        <v>42670.0</v>
      </c>
      <c r="F219" t="str">
        <f t="shared" si="2"/>
        <v>2016-10</v>
      </c>
      <c r="H219" s="52"/>
      <c r="I219" s="44"/>
      <c r="J219" s="45">
        <v>0.0</v>
      </c>
    </row>
    <row r="220">
      <c r="B220" s="50"/>
      <c r="C220" s="59"/>
      <c r="E220" s="36">
        <v>42676.0</v>
      </c>
      <c r="F220" t="str">
        <f t="shared" si="2"/>
        <v>2016-11</v>
      </c>
      <c r="H220" s="52"/>
      <c r="I220" s="44"/>
      <c r="J220" s="45">
        <v>0.0</v>
      </c>
    </row>
    <row r="221">
      <c r="B221" s="50"/>
      <c r="C221" s="59"/>
      <c r="E221" s="36">
        <v>42702.0</v>
      </c>
      <c r="F221" t="str">
        <f t="shared" si="2"/>
        <v>2016-11</v>
      </c>
      <c r="H221" s="52"/>
      <c r="I221" s="44"/>
      <c r="J221" s="45">
        <v>0.0</v>
      </c>
    </row>
    <row r="222">
      <c r="B222" s="50"/>
      <c r="C222" s="59"/>
      <c r="E222" s="36">
        <v>42717.0</v>
      </c>
      <c r="F222" t="str">
        <f t="shared" si="2"/>
        <v>2016-12</v>
      </c>
      <c r="H222" s="52"/>
      <c r="I222" s="44"/>
      <c r="J222" s="45">
        <v>164.0</v>
      </c>
    </row>
    <row r="223">
      <c r="B223" s="50"/>
      <c r="C223" s="59"/>
      <c r="E223" s="36">
        <v>42723.0</v>
      </c>
      <c r="F223" t="str">
        <f t="shared" si="2"/>
        <v>2016-12</v>
      </c>
      <c r="H223" s="52"/>
      <c r="I223" s="44"/>
      <c r="J223" s="45">
        <v>0.0</v>
      </c>
    </row>
    <row r="224">
      <c r="B224" s="50"/>
      <c r="C224" s="59"/>
      <c r="E224" s="36">
        <v>42702.0</v>
      </c>
      <c r="F224" t="str">
        <f t="shared" si="2"/>
        <v>2016-11</v>
      </c>
      <c r="H224" s="52"/>
      <c r="I224" s="44"/>
      <c r="J224" s="45">
        <v>0.0</v>
      </c>
    </row>
    <row r="225">
      <c r="B225" s="50"/>
      <c r="C225" s="59"/>
      <c r="E225" s="36">
        <v>42704.0</v>
      </c>
      <c r="F225" t="str">
        <f t="shared" si="2"/>
        <v>2016-11</v>
      </c>
      <c r="H225" s="52"/>
      <c r="I225" s="44"/>
      <c r="J225" s="45">
        <v>0.0</v>
      </c>
    </row>
    <row r="226">
      <c r="B226" s="50"/>
      <c r="C226" s="59"/>
      <c r="E226" s="36">
        <v>42711.0</v>
      </c>
      <c r="F226" t="str">
        <f t="shared" si="2"/>
        <v>2016-12</v>
      </c>
      <c r="H226" s="52"/>
      <c r="I226" s="44"/>
      <c r="J226" s="45">
        <v>0.0</v>
      </c>
    </row>
    <row r="227">
      <c r="B227" s="50"/>
      <c r="C227" s="59"/>
      <c r="E227" s="36">
        <v>42718.0</v>
      </c>
      <c r="F227" t="str">
        <f t="shared" si="2"/>
        <v>2016-12</v>
      </c>
      <c r="H227" s="52"/>
      <c r="I227" s="44"/>
      <c r="J227" s="45">
        <v>0.0</v>
      </c>
    </row>
    <row r="228">
      <c r="B228" s="50"/>
      <c r="C228" s="59"/>
      <c r="E228" s="36">
        <v>42755.0</v>
      </c>
      <c r="F228" t="str">
        <f t="shared" si="2"/>
        <v>2017-01</v>
      </c>
      <c r="H228" s="52"/>
      <c r="I228" s="44"/>
      <c r="J228" s="45">
        <v>0.0</v>
      </c>
    </row>
    <row r="229">
      <c r="B229" s="50"/>
      <c r="C229" s="59"/>
      <c r="E229" s="36">
        <v>42756.0</v>
      </c>
      <c r="F229" t="str">
        <f t="shared" si="2"/>
        <v>2017-01</v>
      </c>
      <c r="H229" s="52"/>
      <c r="I229" s="44"/>
      <c r="J229" s="45">
        <v>0.0</v>
      </c>
    </row>
    <row r="230">
      <c r="B230" s="50"/>
      <c r="C230" s="59"/>
      <c r="E230" s="36">
        <v>42756.0</v>
      </c>
      <c r="F230" t="str">
        <f t="shared" si="2"/>
        <v>2017-01</v>
      </c>
      <c r="H230" s="52"/>
      <c r="I230" s="44"/>
      <c r="J230" s="45">
        <v>0.0</v>
      </c>
    </row>
    <row r="231">
      <c r="B231" s="50"/>
      <c r="C231" s="59"/>
      <c r="E231" s="36">
        <v>42756.0</v>
      </c>
      <c r="F231" t="str">
        <f t="shared" si="2"/>
        <v>2017-01</v>
      </c>
      <c r="H231" s="52"/>
      <c r="I231" s="44"/>
      <c r="J231" s="45">
        <v>0.0</v>
      </c>
    </row>
    <row r="232">
      <c r="B232" s="50"/>
      <c r="C232" s="59"/>
      <c r="E232" s="36">
        <v>42759.0</v>
      </c>
      <c r="F232" t="str">
        <f t="shared" si="2"/>
        <v>2017-01</v>
      </c>
      <c r="H232" s="52"/>
      <c r="I232" s="44"/>
      <c r="J232" s="45">
        <v>0.0</v>
      </c>
    </row>
    <row r="233">
      <c r="B233" s="50"/>
      <c r="C233" s="59"/>
      <c r="E233" s="36">
        <v>42782.0</v>
      </c>
      <c r="F233" t="str">
        <f t="shared" si="2"/>
        <v>2017-02</v>
      </c>
      <c r="H233" s="52"/>
      <c r="I233" s="44"/>
      <c r="J233" s="45">
        <v>0.0</v>
      </c>
    </row>
    <row r="234">
      <c r="B234" s="50"/>
      <c r="C234" s="59"/>
      <c r="E234" s="36">
        <v>42785.0</v>
      </c>
      <c r="F234" t="str">
        <f t="shared" si="2"/>
        <v>2017-02</v>
      </c>
      <c r="H234" s="52"/>
      <c r="I234" s="44"/>
      <c r="J234" s="45">
        <v>209.0</v>
      </c>
    </row>
    <row r="235">
      <c r="B235" s="50"/>
      <c r="C235" s="59"/>
      <c r="E235" s="36">
        <v>42802.0</v>
      </c>
      <c r="F235" t="str">
        <f t="shared" si="2"/>
        <v>2017-03</v>
      </c>
      <c r="H235" s="52"/>
      <c r="I235" s="44"/>
      <c r="J235" s="45">
        <v>0.0</v>
      </c>
    </row>
    <row r="236">
      <c r="B236" s="50"/>
      <c r="C236" s="59"/>
      <c r="E236" s="36">
        <v>42756.0</v>
      </c>
      <c r="F236" t="str">
        <f t="shared" si="2"/>
        <v>2017-01</v>
      </c>
      <c r="H236" s="52"/>
      <c r="I236" s="44"/>
      <c r="J236" s="45">
        <v>0.0</v>
      </c>
    </row>
    <row r="237">
      <c r="B237" s="50"/>
      <c r="C237" s="59"/>
      <c r="E237" s="36">
        <v>42782.0</v>
      </c>
      <c r="F237" t="str">
        <f t="shared" si="2"/>
        <v>2017-02</v>
      </c>
      <c r="H237" s="52"/>
      <c r="I237" s="44"/>
      <c r="J237" s="45">
        <v>0.0</v>
      </c>
    </row>
    <row r="238">
      <c r="B238" s="50"/>
      <c r="C238" s="59"/>
      <c r="E238" s="36">
        <v>42802.0</v>
      </c>
      <c r="F238" t="str">
        <f t="shared" si="2"/>
        <v>2017-03</v>
      </c>
      <c r="H238" s="52"/>
      <c r="I238" s="44"/>
      <c r="J238" s="45">
        <v>0.0</v>
      </c>
    </row>
    <row r="239">
      <c r="B239" s="50"/>
      <c r="C239" s="59"/>
      <c r="E239" s="36">
        <v>42809.0</v>
      </c>
      <c r="F239" t="str">
        <f t="shared" si="2"/>
        <v>2017-03</v>
      </c>
      <c r="H239" s="52"/>
      <c r="I239" s="44"/>
      <c r="J239" s="45">
        <v>0.0</v>
      </c>
    </row>
    <row r="240">
      <c r="B240" s="50"/>
      <c r="C240" s="59"/>
      <c r="E240" s="36">
        <v>42832.0</v>
      </c>
      <c r="F240" t="str">
        <f t="shared" si="2"/>
        <v>2017-04</v>
      </c>
      <c r="H240" s="52"/>
      <c r="I240" s="44"/>
      <c r="J240" s="45">
        <v>193.0</v>
      </c>
    </row>
    <row r="241">
      <c r="B241" s="50"/>
      <c r="C241" s="59"/>
      <c r="E241" s="36">
        <v>42852.0</v>
      </c>
      <c r="F241" t="str">
        <f t="shared" si="2"/>
        <v>2017-04</v>
      </c>
      <c r="H241" s="52"/>
      <c r="I241" s="44"/>
      <c r="J241" s="45">
        <v>0.0</v>
      </c>
    </row>
    <row r="242">
      <c r="B242" s="50"/>
      <c r="C242" s="59"/>
      <c r="E242" s="36">
        <v>42809.0</v>
      </c>
      <c r="F242" t="str">
        <f t="shared" si="2"/>
        <v>2017-03</v>
      </c>
      <c r="H242" s="52"/>
      <c r="I242" s="44"/>
      <c r="J242" s="45">
        <v>0.0</v>
      </c>
    </row>
    <row r="243">
      <c r="B243" s="50"/>
      <c r="C243" s="59"/>
      <c r="E243" s="36">
        <v>42832.0</v>
      </c>
      <c r="F243" t="str">
        <f t="shared" si="2"/>
        <v>2017-04</v>
      </c>
      <c r="H243" s="52"/>
      <c r="I243" s="44"/>
      <c r="J243" s="45">
        <v>0.0</v>
      </c>
    </row>
    <row r="244">
      <c r="B244" s="50"/>
      <c r="C244" s="59"/>
      <c r="E244" s="36">
        <v>42852.0</v>
      </c>
      <c r="F244" t="str">
        <f t="shared" si="2"/>
        <v>2017-04</v>
      </c>
      <c r="H244" s="52"/>
      <c r="I244" s="44"/>
      <c r="J244" s="45">
        <v>0.0</v>
      </c>
    </row>
    <row r="245">
      <c r="B245" s="50"/>
      <c r="C245" s="59"/>
      <c r="E245" s="36">
        <v>42872.0</v>
      </c>
      <c r="F245" t="str">
        <f t="shared" si="2"/>
        <v>2017-05</v>
      </c>
      <c r="H245" s="52"/>
      <c r="I245" s="44"/>
      <c r="J245" s="45">
        <v>0.0</v>
      </c>
    </row>
    <row r="246">
      <c r="B246" s="50"/>
      <c r="C246" s="59"/>
      <c r="E246" s="36">
        <v>42873.0</v>
      </c>
      <c r="F246" t="str">
        <f t="shared" si="2"/>
        <v>2017-05</v>
      </c>
      <c r="H246" s="52"/>
      <c r="I246" s="44"/>
      <c r="J246" s="45">
        <v>0.0</v>
      </c>
    </row>
    <row r="247">
      <c r="B247" s="50"/>
      <c r="C247" s="59"/>
      <c r="E247" s="36">
        <v>42886.0</v>
      </c>
      <c r="F247" t="str">
        <f t="shared" si="2"/>
        <v>2017-05</v>
      </c>
      <c r="H247" s="52"/>
      <c r="I247" s="44"/>
      <c r="J247" s="45">
        <v>180.0</v>
      </c>
    </row>
    <row r="248">
      <c r="B248" s="50"/>
      <c r="C248" s="59"/>
      <c r="E248" s="36">
        <v>42921.0</v>
      </c>
      <c r="F248" t="str">
        <f t="shared" si="2"/>
        <v>2017-07</v>
      </c>
      <c r="H248" s="52"/>
      <c r="I248" s="44"/>
      <c r="J248" s="45">
        <v>0.0</v>
      </c>
    </row>
    <row r="249">
      <c r="B249" s="50"/>
      <c r="C249" s="59"/>
      <c r="E249" s="36">
        <v>42852.0</v>
      </c>
      <c r="F249" t="str">
        <f t="shared" si="2"/>
        <v>2017-04</v>
      </c>
      <c r="H249" s="52"/>
      <c r="I249" s="44"/>
      <c r="J249" s="45">
        <v>0.0</v>
      </c>
    </row>
    <row r="250">
      <c r="B250" s="50"/>
      <c r="C250" s="59"/>
      <c r="E250" s="36">
        <v>42865.0</v>
      </c>
      <c r="F250" t="str">
        <f t="shared" si="2"/>
        <v>2017-05</v>
      </c>
      <c r="H250" s="52"/>
      <c r="I250" s="44"/>
      <c r="J250" s="45">
        <v>0.0</v>
      </c>
    </row>
    <row r="251">
      <c r="B251" s="50"/>
      <c r="C251" s="59"/>
      <c r="E251" s="36">
        <v>42886.0</v>
      </c>
      <c r="F251" t="str">
        <f t="shared" si="2"/>
        <v>2017-05</v>
      </c>
      <c r="H251" s="52"/>
      <c r="I251" s="44"/>
      <c r="J251" s="45">
        <v>0.0</v>
      </c>
    </row>
    <row r="252">
      <c r="B252" s="50"/>
      <c r="C252" s="59"/>
      <c r="E252" s="36">
        <v>42921.0</v>
      </c>
      <c r="F252" t="str">
        <f t="shared" si="2"/>
        <v>2017-07</v>
      </c>
      <c r="H252" s="52"/>
      <c r="I252" s="44"/>
      <c r="J252" s="45">
        <v>353.0</v>
      </c>
    </row>
    <row r="253">
      <c r="B253" s="50"/>
      <c r="C253" s="59"/>
      <c r="E253" s="36">
        <v>42930.0</v>
      </c>
      <c r="F253" t="str">
        <f t="shared" si="2"/>
        <v>2017-07</v>
      </c>
      <c r="H253" s="52"/>
      <c r="I253" s="44"/>
      <c r="J253" s="45">
        <v>0.0</v>
      </c>
    </row>
    <row r="254">
      <c r="B254" s="50"/>
      <c r="C254" s="59"/>
      <c r="E254" s="36">
        <v>42921.0</v>
      </c>
      <c r="F254" t="str">
        <f t="shared" si="2"/>
        <v>2017-07</v>
      </c>
      <c r="H254" s="52"/>
      <c r="I254" s="44"/>
      <c r="J254" s="45">
        <v>0.0</v>
      </c>
    </row>
    <row r="255">
      <c r="B255" s="50"/>
      <c r="C255" s="59"/>
      <c r="E255" s="36">
        <v>42937.0</v>
      </c>
      <c r="F255" t="str">
        <f t="shared" si="2"/>
        <v>2017-07</v>
      </c>
      <c r="H255" s="52"/>
      <c r="I255" s="44"/>
      <c r="J255" s="45">
        <v>0.0</v>
      </c>
    </row>
    <row r="256">
      <c r="B256" s="50"/>
      <c r="C256" s="59"/>
      <c r="E256" s="36">
        <v>42955.0</v>
      </c>
      <c r="F256" t="str">
        <f t="shared" si="2"/>
        <v>2017-08</v>
      </c>
      <c r="H256" s="52"/>
      <c r="I256" s="44"/>
      <c r="J256" s="45">
        <v>0.0</v>
      </c>
    </row>
    <row r="257">
      <c r="B257" s="50"/>
      <c r="C257" s="59"/>
      <c r="E257" s="36">
        <v>42978.0</v>
      </c>
      <c r="F257" t="str">
        <f t="shared" si="2"/>
        <v>2017-08</v>
      </c>
      <c r="H257" s="52"/>
      <c r="I257" s="44"/>
      <c r="J257" s="45">
        <v>0.0</v>
      </c>
    </row>
    <row r="258">
      <c r="B258" s="50"/>
      <c r="C258" s="59"/>
      <c r="E258" s="36">
        <v>43011.0</v>
      </c>
      <c r="F258" t="str">
        <f t="shared" si="2"/>
        <v>2017-10</v>
      </c>
      <c r="H258" s="52"/>
      <c r="I258" s="44"/>
      <c r="J258" s="45">
        <v>0.0</v>
      </c>
    </row>
    <row r="259">
      <c r="B259" s="50"/>
      <c r="C259" s="59"/>
      <c r="E259" s="36">
        <v>43012.0</v>
      </c>
      <c r="F259" t="str">
        <f t="shared" si="2"/>
        <v>2017-10</v>
      </c>
      <c r="H259" s="52"/>
      <c r="I259" s="44"/>
      <c r="J259" s="45">
        <v>145.0</v>
      </c>
    </row>
    <row r="260">
      <c r="B260" s="50"/>
      <c r="C260" s="59"/>
      <c r="E260" s="36">
        <v>43018.0</v>
      </c>
      <c r="F260" t="str">
        <f t="shared" si="2"/>
        <v>2017-10</v>
      </c>
      <c r="H260" s="52"/>
      <c r="I260" s="44"/>
      <c r="J260" s="45">
        <v>39.0</v>
      </c>
    </row>
    <row r="261">
      <c r="B261" s="50"/>
      <c r="C261" s="59"/>
      <c r="E261" s="36">
        <v>42978.0</v>
      </c>
      <c r="F261" t="str">
        <f t="shared" si="2"/>
        <v>2017-08</v>
      </c>
      <c r="H261" s="52"/>
      <c r="I261" s="44"/>
      <c r="J261" s="45">
        <v>0.0</v>
      </c>
    </row>
    <row r="262">
      <c r="B262" s="50"/>
      <c r="C262" s="59"/>
      <c r="E262" s="36">
        <v>43011.0</v>
      </c>
      <c r="F262" t="str">
        <f t="shared" si="2"/>
        <v>2017-10</v>
      </c>
      <c r="H262" s="52"/>
      <c r="I262" s="44"/>
      <c r="J262" s="45">
        <v>0.0</v>
      </c>
    </row>
    <row r="263">
      <c r="B263" s="50"/>
      <c r="C263" s="59"/>
      <c r="E263" s="36">
        <v>43018.0</v>
      </c>
      <c r="F263" t="str">
        <f t="shared" si="2"/>
        <v>2017-10</v>
      </c>
      <c r="H263" s="52"/>
      <c r="I263" s="44"/>
      <c r="J263" s="45">
        <v>0.0</v>
      </c>
    </row>
    <row r="264">
      <c r="B264" s="50"/>
      <c r="C264" s="59"/>
      <c r="E264" s="36">
        <v>43037.0</v>
      </c>
      <c r="F264" t="str">
        <f t="shared" si="2"/>
        <v>2017-10</v>
      </c>
      <c r="H264" s="52"/>
      <c r="I264" s="44"/>
      <c r="J264" s="45">
        <v>0.0</v>
      </c>
    </row>
    <row r="265">
      <c r="B265" s="50"/>
      <c r="C265" s="59"/>
      <c r="E265" s="36">
        <v>43040.0</v>
      </c>
      <c r="F265" t="str">
        <f t="shared" si="2"/>
        <v>2017-11</v>
      </c>
      <c r="H265" s="52"/>
      <c r="I265" s="44"/>
      <c r="J265" s="45">
        <v>0.0</v>
      </c>
    </row>
    <row r="266">
      <c r="B266" s="50"/>
      <c r="C266" s="59"/>
      <c r="E266" s="36">
        <v>43018.0</v>
      </c>
      <c r="F266" t="str">
        <f t="shared" si="2"/>
        <v>2017-10</v>
      </c>
      <c r="H266" s="52"/>
      <c r="I266" s="44"/>
      <c r="J266" s="45">
        <v>110.0</v>
      </c>
    </row>
    <row r="267">
      <c r="B267" s="50"/>
      <c r="C267" s="59"/>
      <c r="E267" s="36">
        <v>43025.0</v>
      </c>
      <c r="F267" t="str">
        <f t="shared" si="2"/>
        <v>2017-10</v>
      </c>
      <c r="H267" s="52"/>
      <c r="I267" s="44"/>
      <c r="J267" s="45">
        <v>0.0</v>
      </c>
    </row>
    <row r="268">
      <c r="B268" s="50"/>
      <c r="C268" s="59"/>
      <c r="E268" s="36">
        <v>43031.0</v>
      </c>
      <c r="F268" t="str">
        <f t="shared" si="2"/>
        <v>2017-10</v>
      </c>
      <c r="H268" s="52"/>
      <c r="I268" s="44"/>
      <c r="J268" s="45">
        <v>0.0</v>
      </c>
    </row>
    <row r="269">
      <c r="B269" s="50"/>
      <c r="C269" s="59"/>
      <c r="E269" s="36">
        <v>43038.0</v>
      </c>
      <c r="F269" t="str">
        <f t="shared" si="2"/>
        <v>2017-10</v>
      </c>
      <c r="H269" s="52"/>
      <c r="I269" s="44"/>
      <c r="J269" s="45">
        <v>0.0</v>
      </c>
    </row>
    <row r="270">
      <c r="B270" s="50"/>
      <c r="C270" s="59"/>
      <c r="E270" s="36">
        <v>43047.0</v>
      </c>
      <c r="F270" t="str">
        <f t="shared" si="2"/>
        <v>2017-11</v>
      </c>
      <c r="H270" s="52"/>
      <c r="I270" s="44"/>
      <c r="J270" s="45">
        <v>0.0</v>
      </c>
    </row>
    <row r="271">
      <c r="B271" s="50"/>
      <c r="C271" s="59"/>
      <c r="H271" s="52"/>
      <c r="I271" s="44"/>
      <c r="J271" s="45"/>
    </row>
    <row r="272">
      <c r="B272" s="50"/>
      <c r="C272" s="59"/>
      <c r="H272" s="52"/>
      <c r="I272" s="44"/>
      <c r="J272" s="45"/>
    </row>
    <row r="273">
      <c r="B273" s="50"/>
      <c r="C273" s="59"/>
      <c r="H273" s="52"/>
      <c r="I273" s="44"/>
      <c r="J273" s="45"/>
    </row>
    <row r="274">
      <c r="B274" s="50"/>
      <c r="C274" s="59"/>
      <c r="H274" s="52"/>
      <c r="I274" s="44"/>
      <c r="J274" s="45"/>
    </row>
    <row r="275">
      <c r="B275" s="50"/>
      <c r="C275" s="59"/>
      <c r="H275" s="52"/>
      <c r="I275" s="44"/>
      <c r="J275" s="45"/>
    </row>
    <row r="276">
      <c r="B276" s="50"/>
      <c r="C276" s="59"/>
      <c r="H276" s="52"/>
      <c r="I276" s="44"/>
      <c r="J276" s="45"/>
    </row>
    <row r="277">
      <c r="B277" s="50"/>
      <c r="C277" s="59"/>
      <c r="H277" s="52"/>
      <c r="I277" s="44"/>
      <c r="J277" s="45"/>
    </row>
    <row r="278">
      <c r="B278" s="50"/>
      <c r="C278" s="59"/>
      <c r="H278" s="52"/>
      <c r="I278" s="44"/>
      <c r="J278" s="45"/>
    </row>
    <row r="279">
      <c r="B279" s="50"/>
      <c r="C279" s="59"/>
      <c r="H279" s="52"/>
      <c r="I279" s="44"/>
      <c r="J279" s="45"/>
    </row>
    <row r="280">
      <c r="B280" s="50"/>
      <c r="C280" s="59"/>
      <c r="H280" s="52"/>
      <c r="I280" s="44"/>
      <c r="J280" s="45"/>
    </row>
    <row r="281">
      <c r="B281" s="50"/>
      <c r="C281" s="59"/>
      <c r="H281" s="52"/>
      <c r="I281" s="44"/>
      <c r="J281" s="45"/>
    </row>
    <row r="282">
      <c r="B282" s="50"/>
      <c r="C282" s="59"/>
      <c r="H282" s="52"/>
      <c r="I282" s="44"/>
      <c r="J282" s="45"/>
    </row>
    <row r="283">
      <c r="B283" s="50"/>
      <c r="C283" s="59"/>
      <c r="H283" s="52"/>
      <c r="I283" s="44"/>
      <c r="J283" s="45"/>
    </row>
    <row r="284">
      <c r="B284" s="50"/>
      <c r="C284" s="59"/>
      <c r="H284" s="52"/>
      <c r="I284" s="44"/>
      <c r="J284" s="45"/>
    </row>
    <row r="285">
      <c r="B285" s="50"/>
      <c r="C285" s="59"/>
      <c r="H285" s="52"/>
      <c r="I285" s="44"/>
      <c r="J285" s="45"/>
    </row>
    <row r="286">
      <c r="B286" s="50"/>
      <c r="C286" s="59"/>
      <c r="H286" s="52"/>
      <c r="I286" s="44"/>
      <c r="J286" s="45"/>
    </row>
    <row r="287">
      <c r="B287" s="50"/>
      <c r="C287" s="59"/>
      <c r="H287" s="52"/>
      <c r="I287" s="44"/>
      <c r="J287" s="45"/>
    </row>
    <row r="288">
      <c r="B288" s="50"/>
      <c r="C288" s="59"/>
      <c r="H288" s="52"/>
      <c r="I288" s="44"/>
      <c r="J288" s="45"/>
    </row>
    <row r="289">
      <c r="B289" s="50"/>
      <c r="C289" s="59"/>
      <c r="H289" s="52"/>
      <c r="I289" s="44"/>
      <c r="J289" s="45"/>
    </row>
    <row r="290">
      <c r="B290" s="50"/>
      <c r="C290" s="59"/>
      <c r="H290" s="52"/>
      <c r="I290" s="44"/>
      <c r="J290" s="45"/>
    </row>
    <row r="291">
      <c r="B291" s="50"/>
      <c r="C291" s="59"/>
      <c r="H291" s="52"/>
      <c r="I291" s="44"/>
      <c r="J291" s="45"/>
    </row>
    <row r="292">
      <c r="B292" s="50"/>
      <c r="C292" s="59"/>
      <c r="H292" s="52"/>
      <c r="I292" s="44"/>
      <c r="J292" s="45"/>
    </row>
    <row r="293">
      <c r="B293" s="50"/>
      <c r="C293" s="59"/>
      <c r="H293" s="52"/>
      <c r="I293" s="44"/>
      <c r="J293" s="45"/>
    </row>
    <row r="294">
      <c r="B294" s="50"/>
      <c r="C294" s="59"/>
      <c r="H294" s="52"/>
      <c r="I294" s="44"/>
      <c r="J294" s="45"/>
    </row>
    <row r="295">
      <c r="B295" s="50"/>
      <c r="C295" s="59"/>
      <c r="H295" s="52"/>
      <c r="I295" s="44"/>
      <c r="J295" s="45"/>
    </row>
    <row r="296">
      <c r="B296" s="50"/>
      <c r="C296" s="59"/>
      <c r="H296" s="52"/>
      <c r="I296" s="44"/>
      <c r="J296" s="45"/>
    </row>
    <row r="297">
      <c r="B297" s="50"/>
      <c r="C297" s="59"/>
      <c r="H297" s="52"/>
      <c r="I297" s="44"/>
      <c r="J297" s="45"/>
    </row>
    <row r="298">
      <c r="B298" s="50"/>
      <c r="C298" s="59"/>
      <c r="H298" s="52"/>
      <c r="I298" s="44"/>
      <c r="J298" s="45"/>
    </row>
    <row r="299">
      <c r="B299" s="50"/>
      <c r="C299" s="59"/>
      <c r="H299" s="52"/>
      <c r="I299" s="44"/>
      <c r="J299" s="45"/>
    </row>
    <row r="300">
      <c r="B300" s="50"/>
      <c r="C300" s="59"/>
      <c r="H300" s="52"/>
      <c r="I300" s="44"/>
      <c r="J300" s="45"/>
    </row>
    <row r="301">
      <c r="B301" s="50"/>
      <c r="C301" s="59"/>
      <c r="H301" s="52"/>
      <c r="I301" s="44"/>
      <c r="J301" s="45"/>
    </row>
    <row r="302">
      <c r="B302" s="50"/>
      <c r="C302" s="59"/>
      <c r="H302" s="52"/>
      <c r="I302" s="44"/>
      <c r="J302" s="63"/>
    </row>
    <row r="303">
      <c r="B303" s="50"/>
      <c r="C303" s="59"/>
      <c r="H303" s="52"/>
      <c r="I303" s="44"/>
      <c r="J303" s="63"/>
    </row>
    <row r="304">
      <c r="B304" s="50"/>
      <c r="C304" s="59"/>
      <c r="H304" s="52"/>
      <c r="I304" s="44"/>
      <c r="J304" s="63"/>
    </row>
    <row r="305">
      <c r="B305" s="50"/>
      <c r="C305" s="59"/>
      <c r="H305" s="52"/>
      <c r="I305" s="44"/>
      <c r="J305" s="63"/>
    </row>
    <row r="306">
      <c r="B306" s="50"/>
      <c r="C306" s="59"/>
      <c r="H306" s="52"/>
      <c r="I306" s="44"/>
      <c r="J306" s="63"/>
    </row>
    <row r="307">
      <c r="B307" s="50"/>
      <c r="C307" s="59"/>
      <c r="H307" s="52"/>
      <c r="I307" s="44"/>
      <c r="J307" s="63"/>
    </row>
    <row r="308">
      <c r="B308" s="50"/>
      <c r="C308" s="59"/>
      <c r="H308" s="52"/>
      <c r="I308" s="44"/>
      <c r="J308" s="63"/>
    </row>
    <row r="309">
      <c r="B309" s="50"/>
      <c r="C309" s="59"/>
      <c r="H309" s="52"/>
      <c r="I309" s="44"/>
      <c r="J309" s="63"/>
    </row>
    <row r="310">
      <c r="B310" s="50"/>
      <c r="C310" s="59"/>
      <c r="H310" s="52"/>
      <c r="I310" s="44"/>
      <c r="J310" s="63"/>
    </row>
    <row r="311">
      <c r="B311" s="50"/>
      <c r="C311" s="59"/>
      <c r="H311" s="52"/>
      <c r="I311" s="44"/>
      <c r="J311" s="63"/>
    </row>
    <row r="312">
      <c r="B312" s="50"/>
      <c r="C312" s="59"/>
      <c r="H312" s="52"/>
      <c r="I312" s="44"/>
      <c r="J312" s="63"/>
    </row>
    <row r="313">
      <c r="B313" s="50"/>
      <c r="C313" s="59"/>
      <c r="H313" s="52"/>
      <c r="I313" s="44"/>
      <c r="J313" s="63"/>
    </row>
    <row r="314">
      <c r="B314" s="50"/>
      <c r="C314" s="59"/>
      <c r="H314" s="52"/>
      <c r="I314" s="44"/>
      <c r="J314" s="63"/>
    </row>
    <row r="315">
      <c r="B315" s="50"/>
      <c r="C315" s="59"/>
      <c r="H315" s="52"/>
      <c r="I315" s="44"/>
      <c r="J315" s="63"/>
    </row>
    <row r="316">
      <c r="B316" s="50"/>
      <c r="C316" s="59"/>
      <c r="H316" s="52"/>
      <c r="I316" s="44"/>
      <c r="J316" s="63"/>
    </row>
    <row r="317">
      <c r="B317" s="50"/>
      <c r="C317" s="59"/>
      <c r="H317" s="52"/>
      <c r="I317" s="44"/>
      <c r="J317" s="63"/>
    </row>
    <row r="318">
      <c r="B318" s="50"/>
      <c r="C318" s="59"/>
      <c r="H318" s="52"/>
      <c r="I318" s="44"/>
      <c r="J318" s="63"/>
    </row>
    <row r="319">
      <c r="B319" s="50"/>
      <c r="C319" s="59"/>
      <c r="H319" s="52"/>
      <c r="I319" s="44"/>
      <c r="J319" s="63"/>
    </row>
    <row r="320">
      <c r="B320" s="50"/>
      <c r="C320" s="59"/>
      <c r="H320" s="52"/>
      <c r="I320" s="44"/>
      <c r="J320" s="63"/>
    </row>
    <row r="321">
      <c r="B321" s="50"/>
      <c r="C321" s="59"/>
      <c r="H321" s="52"/>
      <c r="I321" s="44"/>
      <c r="J321" s="63"/>
    </row>
    <row r="322">
      <c r="B322" s="50"/>
      <c r="C322" s="59"/>
      <c r="H322" s="52"/>
      <c r="I322" s="44"/>
      <c r="J322" s="63"/>
    </row>
    <row r="323">
      <c r="B323" s="50"/>
      <c r="C323" s="59"/>
      <c r="H323" s="52"/>
      <c r="I323" s="44"/>
      <c r="J323" s="63"/>
    </row>
    <row r="324">
      <c r="B324" s="50"/>
      <c r="C324" s="59"/>
      <c r="H324" s="52"/>
      <c r="I324" s="44"/>
      <c r="J324" s="63"/>
    </row>
    <row r="325">
      <c r="B325" s="50"/>
      <c r="C325" s="59"/>
      <c r="H325" s="52"/>
      <c r="I325" s="44"/>
      <c r="J325" s="63"/>
    </row>
    <row r="326">
      <c r="B326" s="50"/>
      <c r="C326" s="59"/>
      <c r="H326" s="52"/>
      <c r="I326" s="44"/>
      <c r="J326" s="63"/>
    </row>
    <row r="327">
      <c r="B327" s="50"/>
      <c r="C327" s="59"/>
      <c r="H327" s="52"/>
      <c r="I327" s="44"/>
      <c r="J327" s="63"/>
    </row>
    <row r="328">
      <c r="B328" s="50"/>
      <c r="C328" s="59"/>
      <c r="H328" s="52"/>
      <c r="I328" s="44"/>
      <c r="J328" s="63"/>
    </row>
    <row r="329">
      <c r="B329" s="50"/>
      <c r="C329" s="59"/>
      <c r="H329" s="52"/>
      <c r="I329" s="44"/>
      <c r="J329" s="63"/>
    </row>
    <row r="330">
      <c r="B330" s="50"/>
      <c r="C330" s="59"/>
      <c r="H330" s="52"/>
      <c r="I330" s="44"/>
      <c r="J330" s="63"/>
    </row>
    <row r="331">
      <c r="B331" s="50"/>
      <c r="C331" s="59"/>
      <c r="H331" s="52"/>
      <c r="I331" s="44"/>
      <c r="J331" s="63"/>
    </row>
    <row r="332">
      <c r="B332" s="50"/>
      <c r="C332" s="59"/>
      <c r="H332" s="52"/>
      <c r="I332" s="44"/>
      <c r="J332" s="63"/>
    </row>
    <row r="333">
      <c r="B333" s="50"/>
      <c r="C333" s="59"/>
      <c r="H333" s="52"/>
      <c r="I333" s="44"/>
      <c r="J333" s="63"/>
    </row>
    <row r="334">
      <c r="B334" s="50"/>
      <c r="C334" s="59"/>
      <c r="H334" s="52"/>
      <c r="I334" s="44"/>
      <c r="J334" s="63"/>
    </row>
    <row r="335">
      <c r="B335" s="50"/>
      <c r="C335" s="59"/>
      <c r="H335" s="52"/>
      <c r="I335" s="44"/>
      <c r="J335" s="63"/>
    </row>
    <row r="336">
      <c r="B336" s="50"/>
      <c r="C336" s="59"/>
      <c r="H336" s="52"/>
      <c r="I336" s="44"/>
      <c r="J336" s="63"/>
    </row>
    <row r="337">
      <c r="B337" s="50"/>
      <c r="C337" s="59"/>
      <c r="H337" s="52"/>
      <c r="I337" s="44"/>
      <c r="J337" s="63"/>
    </row>
    <row r="338">
      <c r="B338" s="50"/>
      <c r="C338" s="59"/>
      <c r="H338" s="52"/>
      <c r="I338" s="44"/>
      <c r="J338" s="63"/>
    </row>
    <row r="339">
      <c r="B339" s="50"/>
      <c r="C339" s="59"/>
      <c r="H339" s="52"/>
      <c r="I339" s="44"/>
      <c r="J339" s="63"/>
    </row>
    <row r="340">
      <c r="B340" s="50"/>
      <c r="C340" s="59"/>
      <c r="H340" s="52"/>
      <c r="I340" s="44"/>
      <c r="J340" s="63"/>
    </row>
    <row r="341">
      <c r="B341" s="50"/>
      <c r="C341" s="59"/>
      <c r="H341" s="52"/>
      <c r="I341" s="44"/>
      <c r="J341" s="63"/>
    </row>
    <row r="342">
      <c r="B342" s="50"/>
      <c r="C342" s="59"/>
      <c r="H342" s="52"/>
      <c r="I342" s="44"/>
      <c r="J342" s="63"/>
    </row>
    <row r="343">
      <c r="B343" s="50"/>
      <c r="C343" s="59"/>
      <c r="H343" s="52"/>
      <c r="I343" s="44"/>
      <c r="J343" s="63"/>
    </row>
    <row r="344">
      <c r="B344" s="50"/>
      <c r="C344" s="59"/>
      <c r="H344" s="52"/>
      <c r="I344" s="44"/>
      <c r="J344" s="63"/>
    </row>
    <row r="345">
      <c r="B345" s="50"/>
      <c r="C345" s="59"/>
      <c r="H345" s="52"/>
      <c r="I345" s="44"/>
      <c r="J345" s="63"/>
    </row>
    <row r="346">
      <c r="B346" s="50"/>
      <c r="C346" s="59"/>
      <c r="H346" s="52"/>
      <c r="I346" s="44"/>
      <c r="J346" s="63"/>
    </row>
    <row r="347">
      <c r="B347" s="50"/>
      <c r="C347" s="59"/>
      <c r="H347" s="52"/>
      <c r="I347" s="44"/>
      <c r="J347" s="63"/>
    </row>
    <row r="348">
      <c r="B348" s="50"/>
      <c r="C348" s="59"/>
      <c r="H348" s="52"/>
      <c r="I348" s="44"/>
      <c r="J348" s="63"/>
    </row>
    <row r="349">
      <c r="B349" s="50"/>
      <c r="C349" s="59"/>
      <c r="H349" s="52"/>
      <c r="I349" s="44"/>
      <c r="J349" s="63"/>
    </row>
    <row r="350">
      <c r="B350" s="50"/>
      <c r="C350" s="59"/>
      <c r="H350" s="52"/>
      <c r="I350" s="44"/>
      <c r="J350" s="63"/>
    </row>
    <row r="351">
      <c r="B351" s="50"/>
      <c r="C351" s="59"/>
      <c r="H351" s="52"/>
      <c r="I351" s="44"/>
      <c r="J351" s="63"/>
    </row>
    <row r="352">
      <c r="B352" s="50"/>
      <c r="C352" s="59"/>
      <c r="H352" s="52"/>
      <c r="I352" s="44"/>
      <c r="J352" s="63"/>
    </row>
    <row r="353">
      <c r="B353" s="50"/>
      <c r="C353" s="59"/>
      <c r="H353" s="52"/>
      <c r="I353" s="44"/>
      <c r="J353" s="63"/>
    </row>
    <row r="354">
      <c r="B354" s="50"/>
      <c r="C354" s="59"/>
      <c r="H354" s="52"/>
      <c r="I354" s="44"/>
      <c r="J354" s="63"/>
    </row>
    <row r="355">
      <c r="B355" s="50"/>
      <c r="C355" s="59"/>
      <c r="H355" s="52"/>
      <c r="I355" s="44"/>
      <c r="J355" s="63"/>
    </row>
    <row r="356">
      <c r="B356" s="50"/>
      <c r="C356" s="59"/>
      <c r="H356" s="52"/>
      <c r="I356" s="44"/>
      <c r="J356" s="63"/>
    </row>
    <row r="357">
      <c r="B357" s="50"/>
      <c r="C357" s="59"/>
      <c r="H357" s="52"/>
      <c r="I357" s="44"/>
      <c r="J357" s="63"/>
    </row>
    <row r="358">
      <c r="B358" s="50"/>
      <c r="C358" s="59"/>
      <c r="H358" s="52"/>
      <c r="I358" s="44"/>
      <c r="J358" s="63"/>
    </row>
    <row r="359">
      <c r="B359" s="50"/>
      <c r="C359" s="59"/>
      <c r="H359" s="52"/>
      <c r="I359" s="44"/>
      <c r="J359" s="63"/>
    </row>
    <row r="360">
      <c r="B360" s="50"/>
      <c r="C360" s="59"/>
      <c r="H360" s="52"/>
      <c r="I360" s="44"/>
      <c r="J360" s="63"/>
    </row>
    <row r="361">
      <c r="B361" s="50"/>
      <c r="C361" s="59"/>
      <c r="H361" s="52"/>
      <c r="I361" s="44"/>
      <c r="J361" s="63"/>
    </row>
    <row r="362">
      <c r="B362" s="50"/>
      <c r="C362" s="59"/>
      <c r="H362" s="52"/>
      <c r="I362" s="44"/>
      <c r="J362" s="63"/>
    </row>
    <row r="363">
      <c r="B363" s="50"/>
      <c r="C363" s="59"/>
      <c r="H363" s="52"/>
      <c r="I363" s="44"/>
      <c r="J363" s="63"/>
    </row>
    <row r="364">
      <c r="B364" s="50"/>
      <c r="C364" s="59"/>
      <c r="H364" s="52"/>
      <c r="I364" s="44"/>
      <c r="J364" s="63"/>
    </row>
    <row r="365">
      <c r="B365" s="50"/>
      <c r="C365" s="59"/>
      <c r="H365" s="52"/>
      <c r="I365" s="44"/>
      <c r="J365" s="63"/>
    </row>
    <row r="366">
      <c r="B366" s="50"/>
      <c r="C366" s="59"/>
      <c r="H366" s="52"/>
      <c r="I366" s="44"/>
      <c r="J366" s="63"/>
    </row>
    <row r="367">
      <c r="B367" s="50"/>
      <c r="C367" s="59"/>
      <c r="H367" s="52"/>
      <c r="I367" s="44"/>
      <c r="J367" s="63"/>
    </row>
    <row r="368">
      <c r="B368" s="50"/>
      <c r="C368" s="59"/>
      <c r="H368" s="52"/>
      <c r="I368" s="44"/>
      <c r="J368" s="63"/>
    </row>
    <row r="369">
      <c r="B369" s="50"/>
      <c r="C369" s="59"/>
      <c r="H369" s="52"/>
      <c r="I369" s="44"/>
      <c r="J369" s="63"/>
    </row>
    <row r="370">
      <c r="B370" s="50"/>
      <c r="C370" s="59"/>
      <c r="H370" s="52"/>
      <c r="I370" s="44"/>
      <c r="J370" s="63"/>
    </row>
    <row r="371">
      <c r="B371" s="50"/>
      <c r="C371" s="59"/>
      <c r="H371" s="52"/>
      <c r="I371" s="44"/>
      <c r="J371" s="63"/>
    </row>
    <row r="372">
      <c r="B372" s="50"/>
      <c r="C372" s="59"/>
      <c r="H372" s="52"/>
      <c r="I372" s="44"/>
      <c r="J372" s="63"/>
    </row>
    <row r="373">
      <c r="B373" s="50"/>
      <c r="C373" s="59"/>
      <c r="H373" s="52"/>
      <c r="I373" s="44"/>
      <c r="J373" s="63"/>
    </row>
    <row r="374">
      <c r="B374" s="50"/>
      <c r="C374" s="59"/>
      <c r="H374" s="52"/>
      <c r="I374" s="44"/>
      <c r="J374" s="63"/>
    </row>
    <row r="375">
      <c r="B375" s="50"/>
      <c r="C375" s="59"/>
      <c r="H375" s="52"/>
      <c r="I375" s="44"/>
      <c r="J375" s="63"/>
    </row>
    <row r="376">
      <c r="B376" s="50"/>
      <c r="C376" s="59"/>
      <c r="H376" s="52"/>
      <c r="I376" s="44"/>
      <c r="J376" s="63"/>
    </row>
    <row r="377">
      <c r="B377" s="50"/>
      <c r="C377" s="59"/>
      <c r="H377" s="52"/>
      <c r="I377" s="44"/>
      <c r="J377" s="63"/>
    </row>
    <row r="378">
      <c r="B378" s="50"/>
      <c r="C378" s="59"/>
      <c r="H378" s="52"/>
      <c r="I378" s="44"/>
      <c r="J378" s="63"/>
    </row>
    <row r="379">
      <c r="B379" s="50"/>
      <c r="C379" s="59"/>
      <c r="H379" s="52"/>
      <c r="I379" s="44"/>
      <c r="J379" s="63"/>
    </row>
    <row r="380">
      <c r="B380" s="50"/>
      <c r="C380" s="59"/>
      <c r="H380" s="52"/>
      <c r="I380" s="44"/>
      <c r="J380" s="63"/>
    </row>
    <row r="381">
      <c r="B381" s="50"/>
      <c r="C381" s="59"/>
      <c r="H381" s="52"/>
      <c r="I381" s="44"/>
      <c r="J381" s="63"/>
    </row>
    <row r="382">
      <c r="B382" s="50"/>
      <c r="C382" s="59"/>
      <c r="H382" s="52"/>
      <c r="I382" s="44"/>
      <c r="J382" s="63"/>
    </row>
    <row r="383">
      <c r="B383" s="50"/>
      <c r="C383" s="59"/>
      <c r="H383" s="52"/>
      <c r="I383" s="44"/>
      <c r="J383" s="63"/>
    </row>
    <row r="384">
      <c r="B384" s="50"/>
      <c r="C384" s="59"/>
      <c r="H384" s="52"/>
      <c r="I384" s="44"/>
      <c r="J384" s="63"/>
    </row>
    <row r="385">
      <c r="B385" s="50"/>
      <c r="C385" s="59"/>
      <c r="H385" s="52"/>
      <c r="I385" s="44"/>
      <c r="J385" s="63"/>
    </row>
    <row r="386">
      <c r="B386" s="50"/>
      <c r="C386" s="59"/>
      <c r="H386" s="52"/>
      <c r="I386" s="44"/>
      <c r="J386" s="63"/>
    </row>
    <row r="387">
      <c r="B387" s="50"/>
      <c r="C387" s="59"/>
      <c r="H387" s="52"/>
      <c r="I387" s="44"/>
      <c r="J387" s="63"/>
    </row>
    <row r="388">
      <c r="B388" s="50"/>
      <c r="C388" s="59"/>
      <c r="H388" s="52"/>
      <c r="I388" s="44"/>
      <c r="J388" s="63"/>
    </row>
    <row r="389">
      <c r="B389" s="50"/>
      <c r="C389" s="59"/>
      <c r="H389" s="52"/>
      <c r="I389" s="44"/>
      <c r="J389" s="63"/>
    </row>
    <row r="390">
      <c r="B390" s="50"/>
      <c r="C390" s="59"/>
      <c r="H390" s="52"/>
      <c r="I390" s="44"/>
      <c r="J390" s="63"/>
    </row>
    <row r="391">
      <c r="B391" s="50"/>
      <c r="C391" s="59"/>
      <c r="H391" s="52"/>
      <c r="I391" s="44"/>
      <c r="J391" s="63"/>
    </row>
    <row r="392">
      <c r="B392" s="50"/>
      <c r="C392" s="59"/>
      <c r="H392" s="52"/>
      <c r="I392" s="44"/>
      <c r="J392" s="63"/>
    </row>
    <row r="393">
      <c r="B393" s="50"/>
      <c r="C393" s="59"/>
      <c r="H393" s="52"/>
      <c r="I393" s="44"/>
      <c r="J393" s="63"/>
    </row>
    <row r="394">
      <c r="B394" s="50"/>
      <c r="C394" s="59"/>
      <c r="H394" s="52"/>
      <c r="I394" s="44"/>
      <c r="J394" s="63"/>
    </row>
    <row r="395">
      <c r="B395" s="50"/>
      <c r="C395" s="59"/>
      <c r="H395" s="52"/>
      <c r="I395" s="44"/>
      <c r="J395" s="63"/>
    </row>
    <row r="396">
      <c r="B396" s="50"/>
      <c r="C396" s="59"/>
      <c r="H396" s="52"/>
      <c r="I396" s="44"/>
      <c r="J396" s="63"/>
    </row>
    <row r="397">
      <c r="B397" s="50"/>
      <c r="C397" s="59"/>
      <c r="H397" s="52"/>
      <c r="I397" s="44"/>
      <c r="J397" s="63"/>
    </row>
    <row r="398">
      <c r="B398" s="50"/>
      <c r="C398" s="59"/>
      <c r="H398" s="52"/>
      <c r="I398" s="44"/>
      <c r="J398" s="63"/>
    </row>
    <row r="399">
      <c r="B399" s="50"/>
      <c r="C399" s="59"/>
      <c r="H399" s="52"/>
      <c r="I399" s="44"/>
      <c r="J399" s="63"/>
    </row>
    <row r="400">
      <c r="B400" s="50"/>
      <c r="C400" s="59"/>
      <c r="H400" s="52"/>
      <c r="I400" s="44"/>
      <c r="J400" s="63"/>
    </row>
    <row r="401">
      <c r="B401" s="50"/>
      <c r="C401" s="59"/>
      <c r="H401" s="52"/>
      <c r="I401" s="44"/>
      <c r="J401" s="63"/>
    </row>
    <row r="402">
      <c r="B402" s="50"/>
      <c r="C402" s="59"/>
      <c r="H402" s="52"/>
      <c r="I402" s="44"/>
      <c r="J402" s="63"/>
    </row>
    <row r="403">
      <c r="B403" s="50"/>
      <c r="C403" s="59"/>
      <c r="H403" s="52"/>
      <c r="I403" s="44"/>
      <c r="J403" s="63"/>
    </row>
    <row r="404">
      <c r="B404" s="50"/>
      <c r="C404" s="59"/>
      <c r="H404" s="52"/>
      <c r="I404" s="44"/>
      <c r="J404" s="63"/>
    </row>
    <row r="405">
      <c r="B405" s="50"/>
      <c r="C405" s="59"/>
      <c r="H405" s="52"/>
      <c r="I405" s="44"/>
      <c r="J405" s="63"/>
    </row>
    <row r="406">
      <c r="B406" s="50"/>
      <c r="C406" s="59"/>
      <c r="H406" s="52"/>
      <c r="I406" s="44"/>
      <c r="J406" s="63"/>
    </row>
    <row r="407">
      <c r="B407" s="50"/>
      <c r="C407" s="59"/>
      <c r="H407" s="52"/>
      <c r="I407" s="44"/>
      <c r="J407" s="63"/>
    </row>
    <row r="408">
      <c r="B408" s="50"/>
      <c r="C408" s="59"/>
      <c r="H408" s="52"/>
      <c r="I408" s="44"/>
      <c r="J408" s="63"/>
    </row>
    <row r="409">
      <c r="B409" s="50"/>
      <c r="C409" s="59"/>
      <c r="H409" s="52"/>
      <c r="I409" s="44"/>
      <c r="J409" s="63"/>
    </row>
    <row r="410">
      <c r="B410" s="50"/>
      <c r="C410" s="59"/>
      <c r="H410" s="52"/>
      <c r="I410" s="44"/>
      <c r="J410" s="63"/>
    </row>
    <row r="411">
      <c r="B411" s="50"/>
      <c r="C411" s="59"/>
      <c r="H411" s="52"/>
      <c r="I411" s="44"/>
      <c r="J411" s="63"/>
    </row>
    <row r="412">
      <c r="B412" s="50"/>
      <c r="C412" s="59"/>
      <c r="H412" s="52"/>
      <c r="I412" s="44"/>
      <c r="J412" s="63"/>
    </row>
    <row r="413">
      <c r="B413" s="50"/>
      <c r="C413" s="59"/>
      <c r="H413" s="52"/>
      <c r="I413" s="44"/>
      <c r="J413" s="63"/>
    </row>
    <row r="414">
      <c r="B414" s="50"/>
      <c r="C414" s="59"/>
      <c r="H414" s="52"/>
      <c r="I414" s="44"/>
      <c r="J414" s="63"/>
    </row>
    <row r="415">
      <c r="B415" s="50"/>
      <c r="C415" s="59"/>
      <c r="H415" s="52"/>
      <c r="I415" s="44"/>
      <c r="J415" s="63"/>
    </row>
    <row r="416">
      <c r="B416" s="50"/>
      <c r="C416" s="59"/>
      <c r="H416" s="52"/>
      <c r="I416" s="44"/>
      <c r="J416" s="63"/>
    </row>
    <row r="417">
      <c r="B417" s="50"/>
      <c r="C417" s="59"/>
      <c r="H417" s="52"/>
      <c r="I417" s="44"/>
      <c r="J417" s="63"/>
    </row>
    <row r="418">
      <c r="B418" s="50"/>
      <c r="C418" s="59"/>
      <c r="H418" s="52"/>
      <c r="I418" s="44"/>
      <c r="J418" s="63"/>
    </row>
    <row r="419">
      <c r="B419" s="50"/>
      <c r="C419" s="59"/>
      <c r="H419" s="52"/>
      <c r="I419" s="44"/>
      <c r="J419" s="63"/>
    </row>
    <row r="420">
      <c r="B420" s="50"/>
      <c r="C420" s="59"/>
      <c r="H420" s="52"/>
      <c r="I420" s="44"/>
      <c r="J420" s="63"/>
    </row>
    <row r="421">
      <c r="B421" s="50"/>
      <c r="C421" s="59"/>
      <c r="H421" s="52"/>
      <c r="I421" s="44"/>
      <c r="J421" s="63"/>
    </row>
    <row r="422">
      <c r="B422" s="50"/>
      <c r="C422" s="59"/>
      <c r="H422" s="52"/>
      <c r="I422" s="44"/>
      <c r="J422" s="63"/>
    </row>
    <row r="423">
      <c r="B423" s="50"/>
      <c r="C423" s="59"/>
      <c r="H423" s="52"/>
      <c r="I423" s="44"/>
      <c r="J423" s="63"/>
    </row>
    <row r="424">
      <c r="B424" s="50"/>
      <c r="C424" s="59"/>
      <c r="H424" s="52"/>
      <c r="I424" s="44"/>
      <c r="J424" s="63"/>
    </row>
    <row r="425">
      <c r="B425" s="50"/>
      <c r="C425" s="59"/>
      <c r="H425" s="52"/>
      <c r="I425" s="44"/>
      <c r="J425" s="63"/>
    </row>
    <row r="426">
      <c r="B426" s="50"/>
      <c r="C426" s="59"/>
      <c r="H426" s="52"/>
      <c r="I426" s="44"/>
      <c r="J426" s="63"/>
    </row>
    <row r="427">
      <c r="B427" s="50"/>
      <c r="C427" s="59"/>
      <c r="H427" s="52"/>
      <c r="I427" s="44"/>
      <c r="J427" s="63"/>
    </row>
    <row r="428">
      <c r="B428" s="50"/>
      <c r="C428" s="59"/>
      <c r="H428" s="52"/>
      <c r="I428" s="44"/>
      <c r="J428" s="63"/>
    </row>
    <row r="429">
      <c r="B429" s="50"/>
      <c r="C429" s="59"/>
      <c r="H429" s="52"/>
      <c r="I429" s="44"/>
      <c r="J429" s="63"/>
    </row>
    <row r="430">
      <c r="B430" s="50"/>
      <c r="C430" s="59"/>
      <c r="H430" s="52"/>
      <c r="I430" s="44"/>
      <c r="J430" s="63"/>
    </row>
    <row r="431">
      <c r="B431" s="50"/>
      <c r="C431" s="59"/>
      <c r="H431" s="52"/>
      <c r="I431" s="44"/>
      <c r="J431" s="63"/>
    </row>
    <row r="432">
      <c r="B432" s="50"/>
      <c r="C432" s="59"/>
      <c r="H432" s="52"/>
      <c r="I432" s="44"/>
      <c r="J432" s="63"/>
    </row>
    <row r="433">
      <c r="B433" s="50"/>
      <c r="C433" s="59"/>
      <c r="H433" s="52"/>
      <c r="I433" s="44"/>
      <c r="J433" s="63"/>
    </row>
    <row r="434">
      <c r="B434" s="50"/>
      <c r="C434" s="59"/>
      <c r="H434" s="52"/>
      <c r="I434" s="44"/>
      <c r="J434" s="63"/>
    </row>
    <row r="435">
      <c r="B435" s="50"/>
      <c r="C435" s="59"/>
      <c r="H435" s="52"/>
      <c r="I435" s="44"/>
      <c r="J435" s="63"/>
    </row>
    <row r="436">
      <c r="B436" s="50"/>
      <c r="C436" s="59"/>
      <c r="H436" s="52"/>
      <c r="I436" s="44"/>
      <c r="J436" s="63"/>
    </row>
    <row r="437">
      <c r="B437" s="50"/>
      <c r="C437" s="59"/>
      <c r="H437" s="52"/>
      <c r="I437" s="44"/>
      <c r="J437" s="63"/>
    </row>
    <row r="438">
      <c r="B438" s="50"/>
      <c r="C438" s="59"/>
      <c r="H438" s="52"/>
      <c r="I438" s="44"/>
      <c r="J438" s="63"/>
    </row>
    <row r="439">
      <c r="B439" s="50"/>
      <c r="C439" s="59"/>
      <c r="H439" s="52"/>
      <c r="I439" s="44"/>
      <c r="J439" s="63"/>
    </row>
    <row r="440">
      <c r="B440" s="50"/>
      <c r="C440" s="59"/>
      <c r="H440" s="52"/>
      <c r="I440" s="44"/>
      <c r="J440" s="63"/>
    </row>
    <row r="441">
      <c r="B441" s="50"/>
      <c r="C441" s="59"/>
      <c r="H441" s="52"/>
      <c r="I441" s="44"/>
      <c r="J441" s="63"/>
    </row>
    <row r="442">
      <c r="B442" s="50"/>
      <c r="C442" s="59"/>
      <c r="H442" s="52"/>
      <c r="I442" s="44"/>
      <c r="J442" s="63"/>
    </row>
    <row r="443">
      <c r="B443" s="50"/>
      <c r="C443" s="59"/>
      <c r="H443" s="52"/>
      <c r="I443" s="44"/>
      <c r="J443" s="63"/>
    </row>
    <row r="444">
      <c r="B444" s="50"/>
      <c r="C444" s="59"/>
      <c r="H444" s="52"/>
      <c r="I444" s="44"/>
      <c r="J444" s="63"/>
    </row>
    <row r="445">
      <c r="B445" s="50"/>
      <c r="C445" s="59"/>
      <c r="H445" s="52"/>
      <c r="I445" s="44"/>
      <c r="J445" s="63"/>
    </row>
    <row r="446">
      <c r="B446" s="50"/>
      <c r="C446" s="59"/>
      <c r="H446" s="52"/>
      <c r="I446" s="44"/>
      <c r="J446" s="63"/>
    </row>
    <row r="447">
      <c r="B447" s="50"/>
      <c r="C447" s="59"/>
      <c r="H447" s="52"/>
      <c r="I447" s="44"/>
      <c r="J447" s="63"/>
    </row>
    <row r="448">
      <c r="B448" s="50"/>
      <c r="C448" s="59"/>
      <c r="H448" s="52"/>
      <c r="I448" s="44"/>
      <c r="J448" s="63"/>
    </row>
    <row r="449">
      <c r="B449" s="50"/>
      <c r="C449" s="59"/>
      <c r="H449" s="52"/>
      <c r="I449" s="44"/>
      <c r="J449" s="63"/>
    </row>
    <row r="450">
      <c r="B450" s="50"/>
      <c r="C450" s="59"/>
      <c r="H450" s="52"/>
      <c r="I450" s="44"/>
      <c r="J450" s="63"/>
    </row>
    <row r="451">
      <c r="B451" s="50"/>
      <c r="C451" s="59"/>
      <c r="H451" s="52"/>
      <c r="I451" s="44"/>
      <c r="J451" s="63"/>
    </row>
    <row r="452">
      <c r="B452" s="50"/>
      <c r="C452" s="59"/>
      <c r="H452" s="52"/>
      <c r="I452" s="44"/>
      <c r="J452" s="63"/>
    </row>
    <row r="453">
      <c r="B453" s="50"/>
      <c r="C453" s="59"/>
      <c r="H453" s="52"/>
      <c r="I453" s="44"/>
      <c r="J453" s="63"/>
    </row>
    <row r="454">
      <c r="B454" s="50"/>
      <c r="C454" s="59"/>
      <c r="H454" s="52"/>
      <c r="I454" s="44"/>
      <c r="J454" s="63"/>
    </row>
    <row r="455">
      <c r="B455" s="50"/>
      <c r="C455" s="59"/>
      <c r="H455" s="52"/>
      <c r="I455" s="44"/>
      <c r="J455" s="63"/>
    </row>
    <row r="456">
      <c r="B456" s="50"/>
      <c r="C456" s="59"/>
      <c r="H456" s="52"/>
      <c r="I456" s="44"/>
      <c r="J456" s="63"/>
    </row>
    <row r="457">
      <c r="B457" s="50"/>
      <c r="C457" s="59"/>
      <c r="H457" s="52"/>
      <c r="I457" s="44"/>
      <c r="J457" s="63"/>
    </row>
    <row r="458">
      <c r="B458" s="50"/>
      <c r="C458" s="59"/>
      <c r="H458" s="52"/>
      <c r="I458" s="44"/>
      <c r="J458" s="63"/>
    </row>
    <row r="459">
      <c r="B459" s="50"/>
      <c r="C459" s="59"/>
      <c r="H459" s="52"/>
      <c r="I459" s="44"/>
      <c r="J459" s="63"/>
    </row>
    <row r="460">
      <c r="B460" s="50"/>
      <c r="C460" s="59"/>
      <c r="H460" s="52"/>
      <c r="I460" s="44"/>
      <c r="J460" s="63"/>
    </row>
    <row r="461">
      <c r="B461" s="50"/>
      <c r="C461" s="59"/>
      <c r="H461" s="52"/>
      <c r="I461" s="44"/>
      <c r="J461" s="63"/>
    </row>
    <row r="462">
      <c r="B462" s="50"/>
      <c r="C462" s="59"/>
      <c r="H462" s="52"/>
      <c r="I462" s="44"/>
      <c r="J462" s="63"/>
    </row>
    <row r="463">
      <c r="B463" s="50"/>
      <c r="C463" s="59"/>
      <c r="H463" s="52"/>
      <c r="I463" s="44"/>
      <c r="J463" s="63"/>
    </row>
    <row r="464">
      <c r="B464" s="50"/>
      <c r="C464" s="59"/>
      <c r="H464" s="52"/>
      <c r="I464" s="44"/>
      <c r="J464" s="63"/>
    </row>
    <row r="465">
      <c r="B465" s="50"/>
      <c r="C465" s="59"/>
      <c r="H465" s="52"/>
      <c r="I465" s="44"/>
      <c r="J465" s="63"/>
    </row>
    <row r="466">
      <c r="B466" s="50"/>
      <c r="C466" s="59"/>
      <c r="H466" s="52"/>
      <c r="I466" s="44"/>
      <c r="J466" s="63"/>
    </row>
    <row r="467">
      <c r="B467" s="50"/>
      <c r="C467" s="59"/>
      <c r="H467" s="52"/>
      <c r="I467" s="44"/>
      <c r="J467" s="63"/>
    </row>
    <row r="468">
      <c r="B468" s="50"/>
      <c r="C468" s="59"/>
      <c r="H468" s="52"/>
      <c r="I468" s="44"/>
      <c r="J468" s="63"/>
    </row>
    <row r="469">
      <c r="B469" s="50"/>
      <c r="C469" s="59"/>
      <c r="H469" s="52"/>
      <c r="I469" s="44"/>
      <c r="J469" s="63"/>
    </row>
    <row r="470">
      <c r="B470" s="50"/>
      <c r="C470" s="59"/>
      <c r="H470" s="52"/>
      <c r="I470" s="44"/>
      <c r="J470" s="63"/>
    </row>
    <row r="471">
      <c r="B471" s="50"/>
      <c r="C471" s="59"/>
      <c r="H471" s="52"/>
      <c r="I471" s="44"/>
      <c r="J471" s="63"/>
    </row>
    <row r="472">
      <c r="B472" s="50"/>
      <c r="C472" s="59"/>
      <c r="H472" s="52"/>
      <c r="I472" s="44"/>
      <c r="J472" s="63"/>
    </row>
    <row r="473">
      <c r="B473" s="50"/>
      <c r="C473" s="59"/>
      <c r="H473" s="52"/>
      <c r="I473" s="44"/>
      <c r="J473" s="63"/>
    </row>
    <row r="474">
      <c r="B474" s="50"/>
      <c r="C474" s="59"/>
      <c r="H474" s="52"/>
      <c r="I474" s="44"/>
      <c r="J474" s="63"/>
    </row>
    <row r="475">
      <c r="B475" s="50"/>
      <c r="C475" s="59"/>
      <c r="H475" s="52"/>
      <c r="I475" s="44"/>
      <c r="J475" s="63"/>
    </row>
    <row r="476">
      <c r="B476" s="50"/>
      <c r="C476" s="59"/>
      <c r="H476" s="52"/>
      <c r="I476" s="44"/>
      <c r="J476" s="63"/>
    </row>
    <row r="477">
      <c r="B477" s="50"/>
      <c r="C477" s="59"/>
      <c r="H477" s="52"/>
      <c r="I477" s="44"/>
      <c r="J477" s="63"/>
    </row>
    <row r="478">
      <c r="B478" s="50"/>
      <c r="C478" s="59"/>
      <c r="H478" s="52"/>
      <c r="I478" s="44"/>
      <c r="J478" s="63"/>
    </row>
    <row r="479">
      <c r="B479" s="50"/>
      <c r="C479" s="59"/>
      <c r="H479" s="52"/>
      <c r="I479" s="44"/>
      <c r="J479" s="63"/>
    </row>
    <row r="480">
      <c r="B480" s="50"/>
      <c r="C480" s="59"/>
      <c r="H480" s="52"/>
      <c r="I480" s="44"/>
      <c r="J480" s="63"/>
    </row>
    <row r="481">
      <c r="B481" s="50"/>
      <c r="C481" s="59"/>
      <c r="H481" s="52"/>
      <c r="I481" s="44"/>
      <c r="J481" s="63"/>
    </row>
    <row r="482">
      <c r="B482" s="50"/>
      <c r="C482" s="59"/>
      <c r="H482" s="52"/>
      <c r="I482" s="44"/>
      <c r="J482" s="63"/>
    </row>
    <row r="483">
      <c r="B483" s="50"/>
      <c r="C483" s="59"/>
      <c r="H483" s="52"/>
      <c r="I483" s="44"/>
      <c r="J483" s="63"/>
    </row>
    <row r="484">
      <c r="B484" s="50"/>
      <c r="C484" s="59"/>
      <c r="H484" s="52"/>
      <c r="I484" s="44"/>
      <c r="J484" s="63"/>
    </row>
    <row r="485">
      <c r="B485" s="50"/>
      <c r="C485" s="59"/>
      <c r="H485" s="52"/>
      <c r="I485" s="44"/>
      <c r="J485" s="63"/>
    </row>
    <row r="486">
      <c r="B486" s="50"/>
      <c r="C486" s="59"/>
      <c r="H486" s="52"/>
      <c r="I486" s="44"/>
      <c r="J486" s="63"/>
    </row>
    <row r="487">
      <c r="B487" s="50"/>
      <c r="C487" s="59"/>
      <c r="H487" s="52"/>
      <c r="I487" s="44"/>
      <c r="J487" s="63"/>
    </row>
    <row r="488">
      <c r="B488" s="50"/>
      <c r="C488" s="59"/>
      <c r="H488" s="52"/>
      <c r="I488" s="44"/>
      <c r="J488" s="63"/>
    </row>
    <row r="489">
      <c r="B489" s="50"/>
      <c r="C489" s="59"/>
      <c r="H489" s="52"/>
      <c r="I489" s="44"/>
      <c r="J489" s="63"/>
    </row>
    <row r="490">
      <c r="B490" s="50"/>
      <c r="C490" s="59"/>
      <c r="H490" s="52"/>
      <c r="I490" s="44"/>
      <c r="J490" s="63"/>
    </row>
    <row r="491">
      <c r="B491" s="50"/>
      <c r="C491" s="59"/>
      <c r="H491" s="52"/>
      <c r="I491" s="44"/>
      <c r="J491" s="63"/>
    </row>
    <row r="492">
      <c r="B492" s="50"/>
      <c r="C492" s="59"/>
      <c r="H492" s="52"/>
      <c r="I492" s="44"/>
      <c r="J492" s="63"/>
    </row>
    <row r="493">
      <c r="B493" s="50"/>
      <c r="C493" s="59"/>
      <c r="H493" s="52"/>
      <c r="I493" s="44"/>
      <c r="J493" s="63"/>
    </row>
    <row r="494">
      <c r="B494" s="50"/>
      <c r="C494" s="59"/>
      <c r="H494" s="52"/>
      <c r="I494" s="44"/>
      <c r="J494" s="63"/>
    </row>
    <row r="495">
      <c r="B495" s="50"/>
      <c r="C495" s="59"/>
      <c r="H495" s="52"/>
      <c r="I495" s="44"/>
      <c r="J495" s="63"/>
    </row>
    <row r="496">
      <c r="B496" s="50"/>
      <c r="C496" s="59"/>
      <c r="H496" s="52"/>
      <c r="I496" s="44"/>
      <c r="J496" s="63"/>
    </row>
    <row r="497">
      <c r="B497" s="50"/>
      <c r="C497" s="59"/>
      <c r="H497" s="52"/>
      <c r="I497" s="44"/>
      <c r="J497" s="63"/>
    </row>
    <row r="498">
      <c r="B498" s="50"/>
      <c r="C498" s="59"/>
      <c r="H498" s="52"/>
      <c r="I498" s="44"/>
      <c r="J498" s="63"/>
    </row>
    <row r="499">
      <c r="B499" s="50"/>
      <c r="C499" s="59"/>
      <c r="H499" s="52"/>
      <c r="I499" s="44"/>
      <c r="J499" s="63"/>
    </row>
    <row r="500">
      <c r="B500" s="50"/>
      <c r="C500" s="59"/>
      <c r="H500" s="52"/>
      <c r="I500" s="44"/>
      <c r="J500" s="63"/>
    </row>
    <row r="501">
      <c r="B501" s="50"/>
      <c r="C501" s="59"/>
      <c r="H501" s="52"/>
      <c r="I501" s="44"/>
      <c r="J501" s="63"/>
    </row>
    <row r="502">
      <c r="B502" s="50"/>
      <c r="C502" s="59"/>
      <c r="H502" s="52"/>
      <c r="I502" s="44"/>
      <c r="J502" s="63"/>
    </row>
    <row r="503">
      <c r="B503" s="50"/>
      <c r="C503" s="59"/>
      <c r="H503" s="52"/>
      <c r="I503" s="44"/>
      <c r="J503" s="63"/>
    </row>
    <row r="504">
      <c r="B504" s="50"/>
      <c r="C504" s="59"/>
      <c r="H504" s="52"/>
      <c r="I504" s="44"/>
      <c r="J504" s="63"/>
    </row>
    <row r="505">
      <c r="B505" s="50"/>
      <c r="C505" s="59"/>
      <c r="H505" s="52"/>
      <c r="I505" s="44"/>
      <c r="J505" s="63"/>
    </row>
    <row r="506">
      <c r="B506" s="50"/>
      <c r="C506" s="59"/>
      <c r="H506" s="52"/>
      <c r="I506" s="44"/>
      <c r="J506" s="63"/>
    </row>
    <row r="507">
      <c r="B507" s="50"/>
      <c r="C507" s="59"/>
      <c r="H507" s="52"/>
      <c r="I507" s="44"/>
      <c r="J507" s="63"/>
    </row>
    <row r="508">
      <c r="B508" s="50"/>
      <c r="C508" s="59"/>
      <c r="H508" s="52"/>
      <c r="I508" s="44"/>
      <c r="J508" s="63"/>
    </row>
    <row r="509">
      <c r="B509" s="50"/>
      <c r="C509" s="59"/>
      <c r="H509" s="52"/>
      <c r="I509" s="44"/>
      <c r="J509" s="63"/>
    </row>
    <row r="510">
      <c r="B510" s="50"/>
      <c r="C510" s="59"/>
      <c r="H510" s="52"/>
      <c r="I510" s="44"/>
      <c r="J510" s="63"/>
    </row>
    <row r="511">
      <c r="B511" s="50"/>
      <c r="C511" s="59"/>
      <c r="H511" s="52"/>
      <c r="I511" s="44"/>
      <c r="J511" s="63"/>
    </row>
    <row r="512">
      <c r="B512" s="50"/>
      <c r="C512" s="59"/>
      <c r="H512" s="52"/>
      <c r="I512" s="44"/>
      <c r="J512" s="63"/>
    </row>
    <row r="513">
      <c r="B513" s="50"/>
      <c r="C513" s="59"/>
      <c r="H513" s="52"/>
      <c r="I513" s="44"/>
      <c r="J513" s="63"/>
    </row>
    <row r="514">
      <c r="B514" s="50"/>
      <c r="C514" s="59"/>
      <c r="H514" s="52"/>
      <c r="I514" s="44"/>
      <c r="J514" s="63"/>
    </row>
    <row r="515">
      <c r="B515" s="50"/>
      <c r="C515" s="59"/>
      <c r="H515" s="52"/>
      <c r="I515" s="44"/>
      <c r="J515" s="63"/>
    </row>
    <row r="516">
      <c r="B516" s="50"/>
      <c r="C516" s="59"/>
      <c r="H516" s="52"/>
      <c r="I516" s="44"/>
      <c r="J516" s="63"/>
    </row>
    <row r="517">
      <c r="B517" s="50"/>
      <c r="C517" s="59"/>
      <c r="H517" s="52"/>
      <c r="I517" s="44"/>
      <c r="J517" s="63"/>
    </row>
    <row r="518">
      <c r="B518" s="50"/>
      <c r="C518" s="59"/>
      <c r="H518" s="52"/>
      <c r="I518" s="44"/>
      <c r="J518" s="63"/>
    </row>
    <row r="519">
      <c r="B519" s="50"/>
      <c r="C519" s="59"/>
      <c r="H519" s="52"/>
      <c r="I519" s="44"/>
      <c r="J519" s="63"/>
    </row>
    <row r="520">
      <c r="B520" s="50"/>
      <c r="C520" s="59"/>
      <c r="H520" s="52"/>
      <c r="I520" s="44"/>
      <c r="J520" s="63"/>
    </row>
    <row r="521">
      <c r="B521" s="50"/>
      <c r="C521" s="59"/>
      <c r="H521" s="52"/>
      <c r="I521" s="44"/>
      <c r="J521" s="63"/>
    </row>
    <row r="522">
      <c r="B522" s="50"/>
      <c r="C522" s="59"/>
      <c r="H522" s="52"/>
      <c r="I522" s="44"/>
      <c r="J522" s="63"/>
    </row>
    <row r="523">
      <c r="B523" s="50"/>
      <c r="C523" s="59"/>
      <c r="H523" s="52"/>
      <c r="I523" s="44"/>
      <c r="J523" s="63"/>
    </row>
    <row r="524">
      <c r="B524" s="50"/>
      <c r="C524" s="59"/>
      <c r="H524" s="52"/>
      <c r="I524" s="44"/>
      <c r="J524" s="63"/>
    </row>
    <row r="525">
      <c r="B525" s="50"/>
      <c r="C525" s="59"/>
      <c r="H525" s="52"/>
      <c r="I525" s="44"/>
      <c r="J525" s="63"/>
    </row>
    <row r="526">
      <c r="B526" s="50"/>
      <c r="C526" s="59"/>
      <c r="H526" s="52"/>
      <c r="I526" s="44"/>
      <c r="J526" s="63"/>
    </row>
    <row r="527">
      <c r="B527" s="50"/>
      <c r="C527" s="59"/>
      <c r="H527" s="52"/>
      <c r="I527" s="44"/>
      <c r="J527" s="63"/>
    </row>
    <row r="528">
      <c r="B528" s="50"/>
      <c r="C528" s="59"/>
      <c r="H528" s="52"/>
      <c r="I528" s="44"/>
      <c r="J528" s="63"/>
    </row>
    <row r="529">
      <c r="B529" s="50"/>
      <c r="C529" s="59"/>
      <c r="H529" s="52"/>
      <c r="I529" s="44"/>
      <c r="J529" s="63"/>
    </row>
    <row r="530">
      <c r="B530" s="50"/>
      <c r="C530" s="59"/>
      <c r="H530" s="52"/>
      <c r="I530" s="44"/>
      <c r="J530" s="63"/>
    </row>
    <row r="531">
      <c r="B531" s="50"/>
      <c r="C531" s="59"/>
      <c r="H531" s="52"/>
      <c r="I531" s="44"/>
      <c r="J531" s="63"/>
    </row>
    <row r="532">
      <c r="B532" s="50"/>
      <c r="C532" s="59"/>
      <c r="H532" s="52"/>
      <c r="I532" s="44"/>
      <c r="J532" s="63"/>
    </row>
    <row r="533">
      <c r="B533" s="50"/>
      <c r="C533" s="59"/>
      <c r="H533" s="52"/>
      <c r="I533" s="44"/>
      <c r="J533" s="63"/>
    </row>
    <row r="534">
      <c r="B534" s="50"/>
      <c r="C534" s="59"/>
      <c r="H534" s="52"/>
      <c r="I534" s="44"/>
      <c r="J534" s="63"/>
    </row>
    <row r="535">
      <c r="B535" s="50"/>
      <c r="C535" s="59"/>
      <c r="H535" s="52"/>
      <c r="I535" s="44"/>
      <c r="J535" s="63"/>
    </row>
    <row r="536">
      <c r="B536" s="50"/>
      <c r="C536" s="59"/>
      <c r="H536" s="52"/>
      <c r="I536" s="44"/>
      <c r="J536" s="63"/>
    </row>
    <row r="537">
      <c r="B537" s="50"/>
      <c r="C537" s="59"/>
      <c r="H537" s="52"/>
      <c r="I537" s="44"/>
      <c r="J537" s="63"/>
    </row>
    <row r="538">
      <c r="B538" s="50"/>
      <c r="C538" s="59"/>
      <c r="H538" s="52"/>
      <c r="I538" s="44"/>
      <c r="J538" s="63"/>
    </row>
    <row r="539">
      <c r="B539" s="50"/>
      <c r="C539" s="59"/>
      <c r="H539" s="52"/>
      <c r="I539" s="44"/>
      <c r="J539" s="63"/>
    </row>
    <row r="540">
      <c r="B540" s="50"/>
      <c r="C540" s="59"/>
      <c r="H540" s="52"/>
      <c r="I540" s="44"/>
      <c r="J540" s="63"/>
    </row>
    <row r="541">
      <c r="B541" s="50"/>
      <c r="C541" s="59"/>
      <c r="H541" s="52"/>
      <c r="I541" s="44"/>
      <c r="J541" s="63"/>
    </row>
    <row r="542">
      <c r="B542" s="50"/>
      <c r="C542" s="59"/>
      <c r="H542" s="52"/>
      <c r="I542" s="44"/>
      <c r="J542" s="63"/>
    </row>
    <row r="543">
      <c r="B543" s="50"/>
      <c r="C543" s="59"/>
      <c r="H543" s="52"/>
      <c r="I543" s="44"/>
      <c r="J543" s="63"/>
    </row>
    <row r="544">
      <c r="B544" s="50"/>
      <c r="C544" s="59"/>
      <c r="H544" s="52"/>
      <c r="I544" s="44"/>
      <c r="J544" s="63"/>
    </row>
    <row r="545">
      <c r="B545" s="50"/>
      <c r="C545" s="59"/>
      <c r="H545" s="52"/>
      <c r="I545" s="44"/>
      <c r="J545" s="63"/>
    </row>
    <row r="546">
      <c r="B546" s="50"/>
      <c r="C546" s="59"/>
      <c r="H546" s="52"/>
      <c r="I546" s="44"/>
      <c r="J546" s="63"/>
    </row>
    <row r="547">
      <c r="B547" s="50"/>
      <c r="C547" s="59"/>
      <c r="H547" s="52"/>
      <c r="I547" s="44"/>
      <c r="J547" s="63"/>
    </row>
    <row r="548">
      <c r="B548" s="50"/>
      <c r="C548" s="59"/>
      <c r="H548" s="52"/>
      <c r="I548" s="44"/>
      <c r="J548" s="63"/>
    </row>
    <row r="549">
      <c r="B549" s="50"/>
      <c r="C549" s="59"/>
      <c r="H549" s="52"/>
      <c r="I549" s="44"/>
      <c r="J549" s="63"/>
    </row>
    <row r="550">
      <c r="B550" s="50"/>
      <c r="C550" s="59"/>
      <c r="H550" s="52"/>
      <c r="I550" s="44"/>
      <c r="J550" s="63"/>
    </row>
    <row r="551">
      <c r="B551" s="50"/>
      <c r="C551" s="59"/>
      <c r="H551" s="52"/>
      <c r="I551" s="44"/>
      <c r="J551" s="63"/>
    </row>
    <row r="552">
      <c r="B552" s="50"/>
      <c r="C552" s="59"/>
      <c r="H552" s="52"/>
      <c r="I552" s="44"/>
      <c r="J552" s="63"/>
    </row>
    <row r="553">
      <c r="B553" s="50"/>
      <c r="C553" s="59"/>
      <c r="H553" s="52"/>
      <c r="I553" s="44"/>
      <c r="J553" s="63"/>
    </row>
    <row r="554">
      <c r="B554" s="50"/>
      <c r="C554" s="59"/>
      <c r="H554" s="52"/>
      <c r="I554" s="44"/>
      <c r="J554" s="63"/>
    </row>
    <row r="555">
      <c r="B555" s="50"/>
      <c r="C555" s="59"/>
      <c r="H555" s="52"/>
      <c r="I555" s="44"/>
      <c r="J555" s="63"/>
    </row>
    <row r="556">
      <c r="B556" s="50"/>
      <c r="C556" s="59"/>
      <c r="H556" s="52"/>
      <c r="I556" s="44"/>
      <c r="J556" s="63"/>
    </row>
    <row r="557">
      <c r="B557" s="50"/>
      <c r="C557" s="59"/>
      <c r="H557" s="52"/>
      <c r="I557" s="44"/>
      <c r="J557" s="63"/>
    </row>
    <row r="558">
      <c r="B558" s="50"/>
      <c r="C558" s="59"/>
      <c r="H558" s="52"/>
      <c r="I558" s="44"/>
      <c r="J558" s="63"/>
    </row>
    <row r="559">
      <c r="B559" s="50"/>
      <c r="C559" s="59"/>
      <c r="H559" s="52"/>
      <c r="I559" s="44"/>
      <c r="J559" s="63"/>
    </row>
    <row r="560">
      <c r="B560" s="50"/>
      <c r="C560" s="59"/>
      <c r="H560" s="52"/>
      <c r="I560" s="44"/>
      <c r="J560" s="63"/>
    </row>
    <row r="561">
      <c r="B561" s="50"/>
      <c r="C561" s="59"/>
      <c r="H561" s="52"/>
      <c r="I561" s="44"/>
      <c r="J561" s="63"/>
    </row>
    <row r="562">
      <c r="B562" s="50"/>
      <c r="C562" s="59"/>
      <c r="H562" s="52"/>
      <c r="I562" s="44"/>
      <c r="J562" s="63"/>
    </row>
    <row r="563">
      <c r="B563" s="50"/>
      <c r="C563" s="59"/>
      <c r="H563" s="52"/>
      <c r="I563" s="44"/>
      <c r="J563" s="63"/>
    </row>
    <row r="564">
      <c r="B564" s="50"/>
      <c r="C564" s="59"/>
      <c r="H564" s="52"/>
      <c r="I564" s="44"/>
      <c r="J564" s="63"/>
    </row>
    <row r="565">
      <c r="B565" s="50"/>
      <c r="C565" s="59"/>
      <c r="H565" s="52"/>
      <c r="I565" s="44"/>
      <c r="J565" s="63"/>
    </row>
    <row r="566">
      <c r="B566" s="50"/>
      <c r="C566" s="59"/>
      <c r="H566" s="52"/>
      <c r="I566" s="44"/>
      <c r="J566" s="63"/>
    </row>
    <row r="567">
      <c r="B567" s="50"/>
      <c r="C567" s="59"/>
      <c r="H567" s="52"/>
      <c r="I567" s="44"/>
      <c r="J567" s="63"/>
    </row>
    <row r="568">
      <c r="B568" s="50"/>
      <c r="C568" s="59"/>
      <c r="H568" s="52"/>
      <c r="I568" s="44"/>
      <c r="J568" s="63"/>
    </row>
    <row r="569">
      <c r="B569" s="50"/>
      <c r="C569" s="59"/>
      <c r="H569" s="52"/>
      <c r="I569" s="44"/>
      <c r="J569" s="63"/>
    </row>
    <row r="570">
      <c r="B570" s="50"/>
      <c r="C570" s="59"/>
      <c r="H570" s="52"/>
      <c r="I570" s="44"/>
      <c r="J570" s="63"/>
    </row>
    <row r="571">
      <c r="B571" s="50"/>
      <c r="C571" s="59"/>
      <c r="H571" s="52"/>
      <c r="I571" s="44"/>
      <c r="J571" s="63"/>
    </row>
    <row r="572">
      <c r="B572" s="50"/>
      <c r="C572" s="59"/>
      <c r="H572" s="52"/>
      <c r="I572" s="44"/>
      <c r="J572" s="63"/>
    </row>
    <row r="573">
      <c r="B573" s="50"/>
      <c r="C573" s="59"/>
      <c r="H573" s="52"/>
      <c r="I573" s="44"/>
      <c r="J573" s="63"/>
    </row>
    <row r="574">
      <c r="B574" s="50"/>
      <c r="C574" s="59"/>
      <c r="H574" s="52"/>
      <c r="I574" s="44"/>
      <c r="J574" s="63"/>
    </row>
    <row r="575">
      <c r="B575" s="50"/>
      <c r="C575" s="59"/>
      <c r="H575" s="52"/>
      <c r="I575" s="44"/>
      <c r="J575" s="63"/>
    </row>
    <row r="576">
      <c r="B576" s="50"/>
      <c r="C576" s="59"/>
      <c r="H576" s="52"/>
      <c r="I576" s="44"/>
      <c r="J576" s="63"/>
    </row>
    <row r="577">
      <c r="B577" s="50"/>
      <c r="C577" s="59"/>
      <c r="H577" s="52"/>
      <c r="I577" s="44"/>
      <c r="J577" s="63"/>
    </row>
    <row r="578">
      <c r="B578" s="50"/>
      <c r="C578" s="59"/>
      <c r="H578" s="52"/>
      <c r="I578" s="44"/>
      <c r="J578" s="63"/>
    </row>
    <row r="579">
      <c r="B579" s="50"/>
      <c r="C579" s="59"/>
      <c r="H579" s="52"/>
      <c r="I579" s="44"/>
      <c r="J579" s="63"/>
    </row>
    <row r="580">
      <c r="B580" s="50"/>
      <c r="C580" s="59"/>
      <c r="H580" s="52"/>
      <c r="I580" s="44"/>
      <c r="J580" s="63"/>
    </row>
    <row r="581">
      <c r="B581" s="50"/>
      <c r="C581" s="59"/>
      <c r="H581" s="52"/>
      <c r="I581" s="44"/>
      <c r="J581" s="63"/>
    </row>
    <row r="582">
      <c r="B582" s="50"/>
      <c r="C582" s="59"/>
      <c r="H582" s="52"/>
      <c r="I582" s="44"/>
      <c r="J582" s="63"/>
    </row>
    <row r="583">
      <c r="B583" s="50"/>
      <c r="C583" s="59"/>
      <c r="H583" s="52"/>
      <c r="I583" s="44"/>
      <c r="J583" s="63"/>
    </row>
    <row r="584">
      <c r="B584" s="50"/>
      <c r="C584" s="59"/>
      <c r="H584" s="52"/>
      <c r="I584" s="44"/>
      <c r="J584" s="63"/>
    </row>
    <row r="585">
      <c r="B585" s="50"/>
      <c r="C585" s="59"/>
      <c r="H585" s="52"/>
      <c r="I585" s="44"/>
      <c r="J585" s="63"/>
    </row>
    <row r="586">
      <c r="B586" s="50"/>
      <c r="C586" s="59"/>
      <c r="H586" s="52"/>
      <c r="I586" s="44"/>
      <c r="J586" s="63"/>
    </row>
    <row r="587">
      <c r="B587" s="50"/>
      <c r="C587" s="59"/>
      <c r="H587" s="52"/>
      <c r="I587" s="44"/>
      <c r="J587" s="63"/>
    </row>
    <row r="588">
      <c r="B588" s="50"/>
      <c r="C588" s="59"/>
      <c r="H588" s="52"/>
      <c r="I588" s="44"/>
      <c r="J588" s="63"/>
    </row>
    <row r="589">
      <c r="B589" s="50"/>
      <c r="C589" s="59"/>
      <c r="H589" s="52"/>
      <c r="I589" s="44"/>
      <c r="J589" s="63"/>
    </row>
    <row r="590">
      <c r="B590" s="50"/>
      <c r="C590" s="59"/>
      <c r="H590" s="52"/>
      <c r="I590" s="44"/>
      <c r="J590" s="63"/>
    </row>
    <row r="591">
      <c r="B591" s="50"/>
      <c r="C591" s="59"/>
      <c r="H591" s="52"/>
      <c r="I591" s="44"/>
      <c r="J591" s="63"/>
    </row>
    <row r="592">
      <c r="B592" s="50"/>
      <c r="C592" s="59"/>
      <c r="H592" s="52"/>
      <c r="I592" s="44"/>
      <c r="J592" s="63"/>
    </row>
    <row r="593">
      <c r="B593" s="50"/>
      <c r="C593" s="59"/>
      <c r="H593" s="52"/>
      <c r="I593" s="44"/>
      <c r="J593" s="63"/>
    </row>
    <row r="594">
      <c r="B594" s="50"/>
      <c r="C594" s="59"/>
      <c r="H594" s="52"/>
      <c r="I594" s="44"/>
      <c r="J594" s="63"/>
    </row>
    <row r="595">
      <c r="B595" s="50"/>
      <c r="C595" s="59"/>
      <c r="H595" s="52"/>
      <c r="I595" s="44"/>
      <c r="J595" s="63"/>
    </row>
    <row r="596">
      <c r="B596" s="50"/>
      <c r="C596" s="59"/>
      <c r="H596" s="52"/>
      <c r="I596" s="44"/>
      <c r="J596" s="63"/>
    </row>
    <row r="597">
      <c r="B597" s="50"/>
      <c r="C597" s="59"/>
      <c r="H597" s="52"/>
      <c r="I597" s="44"/>
      <c r="J597" s="63"/>
    </row>
    <row r="598">
      <c r="B598" s="50"/>
      <c r="C598" s="59"/>
      <c r="H598" s="52"/>
      <c r="I598" s="44"/>
      <c r="J598" s="63"/>
    </row>
    <row r="599">
      <c r="B599" s="50"/>
      <c r="C599" s="59"/>
      <c r="H599" s="52"/>
      <c r="I599" s="44"/>
      <c r="J599" s="63"/>
    </row>
    <row r="600">
      <c r="B600" s="50"/>
      <c r="C600" s="59"/>
      <c r="H600" s="52"/>
      <c r="I600" s="44"/>
      <c r="J600" s="63"/>
    </row>
    <row r="601">
      <c r="B601" s="50"/>
      <c r="C601" s="59"/>
      <c r="H601" s="52"/>
      <c r="I601" s="44"/>
      <c r="J601" s="63"/>
    </row>
    <row r="602">
      <c r="B602" s="50"/>
      <c r="C602" s="59"/>
      <c r="H602" s="52"/>
      <c r="I602" s="44"/>
      <c r="J602" s="63"/>
    </row>
    <row r="603">
      <c r="B603" s="50"/>
      <c r="C603" s="59"/>
      <c r="H603" s="52"/>
      <c r="I603" s="44"/>
      <c r="J603" s="63"/>
    </row>
    <row r="604">
      <c r="B604" s="50"/>
      <c r="C604" s="59"/>
      <c r="H604" s="52"/>
      <c r="I604" s="44"/>
      <c r="J604" s="63"/>
    </row>
    <row r="605">
      <c r="B605" s="50"/>
      <c r="C605" s="59"/>
      <c r="H605" s="52"/>
      <c r="I605" s="44"/>
      <c r="J605" s="63"/>
    </row>
    <row r="606">
      <c r="B606" s="50"/>
      <c r="C606" s="59"/>
      <c r="H606" s="52"/>
      <c r="I606" s="44"/>
      <c r="J606" s="63"/>
    </row>
    <row r="607">
      <c r="B607" s="50"/>
      <c r="C607" s="59"/>
      <c r="H607" s="52"/>
      <c r="I607" s="44"/>
      <c r="J607" s="63"/>
    </row>
    <row r="608">
      <c r="B608" s="50"/>
      <c r="C608" s="59"/>
      <c r="H608" s="52"/>
      <c r="I608" s="44"/>
      <c r="J608" s="63"/>
    </row>
    <row r="609">
      <c r="B609" s="50"/>
      <c r="C609" s="59"/>
      <c r="H609" s="52"/>
      <c r="I609" s="44"/>
      <c r="J609" s="63"/>
    </row>
    <row r="610">
      <c r="B610" s="50"/>
      <c r="C610" s="59"/>
      <c r="H610" s="52"/>
      <c r="I610" s="44"/>
      <c r="J610" s="63"/>
    </row>
    <row r="611">
      <c r="B611" s="50"/>
      <c r="C611" s="59"/>
      <c r="H611" s="52"/>
      <c r="I611" s="44"/>
      <c r="J611" s="63"/>
    </row>
    <row r="612">
      <c r="B612" s="50"/>
      <c r="C612" s="59"/>
      <c r="H612" s="52"/>
      <c r="I612" s="44"/>
      <c r="J612" s="63"/>
    </row>
    <row r="613">
      <c r="B613" s="50"/>
      <c r="C613" s="59"/>
      <c r="H613" s="52"/>
      <c r="I613" s="44"/>
      <c r="J613" s="63"/>
    </row>
    <row r="614">
      <c r="B614" s="50"/>
      <c r="C614" s="59"/>
      <c r="H614" s="52"/>
      <c r="I614" s="44"/>
      <c r="J614" s="63"/>
    </row>
    <row r="615">
      <c r="B615" s="50"/>
      <c r="C615" s="59"/>
      <c r="H615" s="52"/>
      <c r="I615" s="44"/>
      <c r="J615" s="63"/>
    </row>
    <row r="616">
      <c r="B616" s="50"/>
      <c r="C616" s="59"/>
      <c r="H616" s="52"/>
      <c r="I616" s="44"/>
      <c r="J616" s="63"/>
    </row>
    <row r="617">
      <c r="B617" s="50"/>
      <c r="C617" s="59"/>
      <c r="H617" s="52"/>
      <c r="I617" s="44"/>
      <c r="J617" s="63"/>
    </row>
    <row r="618">
      <c r="B618" s="50"/>
      <c r="C618" s="59"/>
      <c r="H618" s="52"/>
      <c r="I618" s="44"/>
      <c r="J618" s="63"/>
    </row>
    <row r="619">
      <c r="B619" s="50"/>
      <c r="C619" s="59"/>
      <c r="H619" s="52"/>
      <c r="I619" s="44"/>
      <c r="J619" s="63"/>
    </row>
    <row r="620">
      <c r="B620" s="50"/>
      <c r="C620" s="59"/>
      <c r="H620" s="52"/>
      <c r="I620" s="44"/>
      <c r="J620" s="63"/>
    </row>
    <row r="621">
      <c r="B621" s="50"/>
      <c r="C621" s="59"/>
      <c r="H621" s="52"/>
      <c r="I621" s="44"/>
      <c r="J621" s="63"/>
    </row>
    <row r="622">
      <c r="B622" s="50"/>
      <c r="C622" s="59"/>
      <c r="H622" s="52"/>
      <c r="I622" s="44"/>
      <c r="J622" s="63"/>
    </row>
    <row r="623">
      <c r="B623" s="50"/>
      <c r="C623" s="59"/>
      <c r="H623" s="52"/>
      <c r="I623" s="44"/>
      <c r="J623" s="63"/>
    </row>
    <row r="624">
      <c r="B624" s="50"/>
      <c r="C624" s="59"/>
      <c r="H624" s="52"/>
      <c r="I624" s="44"/>
      <c r="J624" s="63"/>
    </row>
    <row r="625">
      <c r="B625" s="50"/>
      <c r="C625" s="59"/>
      <c r="H625" s="52"/>
      <c r="I625" s="44"/>
      <c r="J625" s="63"/>
    </row>
    <row r="626">
      <c r="B626" s="50"/>
      <c r="C626" s="59"/>
      <c r="H626" s="52"/>
      <c r="I626" s="44"/>
      <c r="J626" s="63"/>
    </row>
    <row r="627">
      <c r="B627" s="50"/>
      <c r="C627" s="59"/>
      <c r="H627" s="52"/>
      <c r="I627" s="44"/>
      <c r="J627" s="63"/>
    </row>
    <row r="628">
      <c r="B628" s="50"/>
      <c r="C628" s="59"/>
      <c r="H628" s="52"/>
      <c r="I628" s="44"/>
      <c r="J628" s="63"/>
    </row>
    <row r="629">
      <c r="B629" s="50"/>
      <c r="C629" s="59"/>
      <c r="H629" s="52"/>
      <c r="I629" s="44"/>
      <c r="J629" s="63"/>
    </row>
    <row r="630">
      <c r="B630" s="50"/>
      <c r="C630" s="59"/>
      <c r="H630" s="52"/>
      <c r="I630" s="44"/>
      <c r="J630" s="63"/>
    </row>
    <row r="631">
      <c r="B631" s="50"/>
      <c r="C631" s="59"/>
      <c r="H631" s="52"/>
      <c r="I631" s="44"/>
      <c r="J631" s="63"/>
    </row>
    <row r="632">
      <c r="B632" s="50"/>
      <c r="C632" s="59"/>
      <c r="H632" s="52"/>
      <c r="I632" s="44"/>
      <c r="J632" s="63"/>
    </row>
    <row r="633">
      <c r="B633" s="50"/>
      <c r="C633" s="59"/>
      <c r="H633" s="52"/>
      <c r="I633" s="44"/>
      <c r="J633" s="63"/>
    </row>
    <row r="634">
      <c r="B634" s="50"/>
      <c r="C634" s="59"/>
      <c r="H634" s="52"/>
      <c r="I634" s="44"/>
      <c r="J634" s="63"/>
    </row>
    <row r="635">
      <c r="B635" s="50"/>
      <c r="C635" s="59"/>
      <c r="H635" s="52"/>
      <c r="I635" s="44"/>
      <c r="J635" s="63"/>
    </row>
    <row r="636">
      <c r="B636" s="50"/>
      <c r="C636" s="59"/>
      <c r="H636" s="52"/>
      <c r="I636" s="44"/>
      <c r="J636" s="63"/>
    </row>
    <row r="637">
      <c r="B637" s="50"/>
      <c r="C637" s="59"/>
      <c r="H637" s="52"/>
      <c r="I637" s="44"/>
      <c r="J637" s="63"/>
    </row>
    <row r="638">
      <c r="B638" s="50"/>
      <c r="C638" s="59"/>
      <c r="H638" s="52"/>
      <c r="I638" s="44"/>
      <c r="J638" s="63"/>
    </row>
    <row r="639">
      <c r="B639" s="50"/>
      <c r="C639" s="59"/>
      <c r="H639" s="52"/>
      <c r="I639" s="44"/>
      <c r="J639" s="63"/>
    </row>
    <row r="640">
      <c r="B640" s="50"/>
      <c r="C640" s="59"/>
      <c r="H640" s="52"/>
      <c r="I640" s="44"/>
      <c r="J640" s="63"/>
    </row>
    <row r="641">
      <c r="B641" s="50"/>
      <c r="C641" s="59"/>
      <c r="H641" s="52"/>
      <c r="I641" s="44"/>
      <c r="J641" s="63"/>
    </row>
    <row r="642">
      <c r="B642" s="50"/>
      <c r="C642" s="59"/>
      <c r="H642" s="52"/>
      <c r="I642" s="44"/>
      <c r="J642" s="63"/>
    </row>
    <row r="643">
      <c r="B643" s="50"/>
      <c r="C643" s="59"/>
      <c r="H643" s="52"/>
      <c r="I643" s="44"/>
      <c r="J643" s="63"/>
    </row>
    <row r="644">
      <c r="B644" s="50"/>
      <c r="C644" s="59"/>
      <c r="H644" s="52"/>
      <c r="I644" s="44"/>
      <c r="J644" s="63"/>
    </row>
    <row r="645">
      <c r="B645" s="50"/>
      <c r="C645" s="59"/>
      <c r="H645" s="52"/>
      <c r="I645" s="44"/>
      <c r="J645" s="63"/>
    </row>
    <row r="646">
      <c r="B646" s="50"/>
      <c r="C646" s="59"/>
      <c r="H646" s="52"/>
      <c r="I646" s="44"/>
      <c r="J646" s="63"/>
    </row>
    <row r="647">
      <c r="B647" s="50"/>
      <c r="C647" s="59"/>
      <c r="H647" s="52"/>
      <c r="I647" s="44"/>
      <c r="J647" s="63"/>
    </row>
    <row r="648">
      <c r="B648" s="50"/>
      <c r="C648" s="59"/>
      <c r="H648" s="52"/>
      <c r="I648" s="44"/>
      <c r="J648" s="63"/>
    </row>
    <row r="649">
      <c r="B649" s="50"/>
      <c r="C649" s="59"/>
      <c r="H649" s="52"/>
      <c r="I649" s="44"/>
      <c r="J649" s="63"/>
    </row>
    <row r="650">
      <c r="B650" s="50"/>
      <c r="C650" s="59"/>
      <c r="H650" s="52"/>
      <c r="I650" s="44"/>
      <c r="J650" s="63"/>
    </row>
    <row r="651">
      <c r="B651" s="50"/>
      <c r="C651" s="59"/>
      <c r="H651" s="52"/>
      <c r="I651" s="44"/>
      <c r="J651" s="63"/>
    </row>
    <row r="652">
      <c r="B652" s="50"/>
      <c r="C652" s="59"/>
      <c r="H652" s="52"/>
      <c r="I652" s="44"/>
      <c r="J652" s="63"/>
    </row>
    <row r="653">
      <c r="B653" s="50"/>
      <c r="C653" s="59"/>
      <c r="H653" s="52"/>
      <c r="I653" s="44"/>
      <c r="J653" s="63"/>
    </row>
    <row r="654">
      <c r="B654" s="50"/>
      <c r="C654" s="59"/>
      <c r="H654" s="52"/>
      <c r="I654" s="44"/>
      <c r="J654" s="63"/>
    </row>
    <row r="655">
      <c r="B655" s="50"/>
      <c r="C655" s="59"/>
      <c r="H655" s="52"/>
      <c r="I655" s="44"/>
      <c r="J655" s="63"/>
    </row>
    <row r="656">
      <c r="B656" s="50"/>
      <c r="C656" s="59"/>
      <c r="H656" s="52"/>
      <c r="I656" s="44"/>
      <c r="J656" s="63"/>
    </row>
    <row r="657">
      <c r="B657" s="50"/>
      <c r="C657" s="59"/>
      <c r="H657" s="52"/>
      <c r="I657" s="44"/>
      <c r="J657" s="63"/>
    </row>
    <row r="658">
      <c r="B658" s="50"/>
      <c r="C658" s="59"/>
      <c r="H658" s="52"/>
      <c r="I658" s="44"/>
      <c r="J658" s="63"/>
    </row>
    <row r="659">
      <c r="B659" s="50"/>
      <c r="C659" s="59"/>
      <c r="H659" s="52"/>
      <c r="I659" s="44"/>
      <c r="J659" s="63"/>
    </row>
    <row r="660">
      <c r="B660" s="50"/>
      <c r="C660" s="59"/>
      <c r="H660" s="52"/>
      <c r="I660" s="44"/>
      <c r="J660" s="63"/>
    </row>
    <row r="661">
      <c r="B661" s="50"/>
      <c r="C661" s="59"/>
      <c r="H661" s="52"/>
      <c r="I661" s="44"/>
      <c r="J661" s="63"/>
    </row>
    <row r="662">
      <c r="B662" s="50"/>
      <c r="C662" s="59"/>
      <c r="H662" s="52"/>
      <c r="I662" s="44"/>
      <c r="J662" s="63"/>
    </row>
    <row r="663">
      <c r="B663" s="50"/>
      <c r="C663" s="59"/>
      <c r="H663" s="52"/>
      <c r="I663" s="44"/>
      <c r="J663" s="63"/>
    </row>
    <row r="664">
      <c r="B664" s="50"/>
      <c r="C664" s="59"/>
      <c r="H664" s="52"/>
      <c r="I664" s="44"/>
      <c r="J664" s="63"/>
    </row>
    <row r="665">
      <c r="B665" s="50"/>
      <c r="C665" s="59"/>
      <c r="H665" s="52"/>
      <c r="I665" s="44"/>
      <c r="J665" s="63"/>
    </row>
    <row r="666">
      <c r="B666" s="50"/>
      <c r="C666" s="59"/>
      <c r="H666" s="52"/>
      <c r="I666" s="44"/>
      <c r="J666" s="63"/>
    </row>
    <row r="667">
      <c r="B667" s="50"/>
      <c r="C667" s="59"/>
      <c r="H667" s="52"/>
      <c r="I667" s="44"/>
      <c r="J667" s="63"/>
    </row>
    <row r="668">
      <c r="B668" s="50"/>
      <c r="C668" s="59"/>
      <c r="H668" s="52"/>
      <c r="I668" s="44"/>
      <c r="J668" s="63"/>
    </row>
    <row r="669">
      <c r="B669" s="50"/>
      <c r="C669" s="59"/>
      <c r="H669" s="52"/>
      <c r="I669" s="44"/>
      <c r="J669" s="63"/>
    </row>
    <row r="670">
      <c r="B670" s="50"/>
      <c r="C670" s="59"/>
      <c r="H670" s="52"/>
      <c r="I670" s="44"/>
      <c r="J670" s="63"/>
    </row>
    <row r="671">
      <c r="B671" s="50"/>
      <c r="C671" s="59"/>
      <c r="H671" s="52"/>
      <c r="I671" s="44"/>
      <c r="J671" s="63"/>
    </row>
    <row r="672">
      <c r="B672" s="50"/>
      <c r="C672" s="59"/>
      <c r="H672" s="52"/>
      <c r="I672" s="44"/>
      <c r="J672" s="63"/>
    </row>
    <row r="673">
      <c r="B673" s="50"/>
      <c r="C673" s="59"/>
      <c r="H673" s="52"/>
      <c r="I673" s="44"/>
      <c r="J673" s="63"/>
    </row>
    <row r="674">
      <c r="B674" s="50"/>
      <c r="C674" s="59"/>
      <c r="H674" s="52"/>
      <c r="I674" s="44"/>
      <c r="J674" s="63"/>
    </row>
    <row r="675">
      <c r="B675" s="50"/>
      <c r="C675" s="59"/>
      <c r="H675" s="52"/>
      <c r="I675" s="44"/>
      <c r="J675" s="63"/>
    </row>
    <row r="676">
      <c r="B676" s="50"/>
      <c r="C676" s="59"/>
      <c r="H676" s="52"/>
      <c r="I676" s="44"/>
      <c r="J676" s="63"/>
    </row>
    <row r="677">
      <c r="B677" s="50"/>
      <c r="C677" s="59"/>
      <c r="H677" s="52"/>
      <c r="I677" s="44"/>
      <c r="J677" s="63"/>
    </row>
    <row r="678">
      <c r="B678" s="50"/>
      <c r="C678" s="59"/>
      <c r="H678" s="52"/>
      <c r="I678" s="44"/>
      <c r="J678" s="63"/>
    </row>
    <row r="679">
      <c r="B679" s="50"/>
      <c r="C679" s="59"/>
      <c r="H679" s="52"/>
      <c r="I679" s="44"/>
      <c r="J679" s="63"/>
    </row>
    <row r="680">
      <c r="B680" s="50"/>
      <c r="C680" s="59"/>
      <c r="H680" s="52"/>
      <c r="I680" s="44"/>
      <c r="J680" s="63"/>
    </row>
    <row r="681">
      <c r="B681" s="50"/>
      <c r="C681" s="59"/>
      <c r="H681" s="52"/>
      <c r="I681" s="44"/>
      <c r="J681" s="63"/>
    </row>
    <row r="682">
      <c r="B682" s="50"/>
      <c r="C682" s="59"/>
      <c r="H682" s="52"/>
      <c r="I682" s="44"/>
      <c r="J682" s="63"/>
    </row>
    <row r="683">
      <c r="B683" s="50"/>
      <c r="C683" s="59"/>
      <c r="H683" s="52"/>
      <c r="I683" s="44"/>
      <c r="J683" s="63"/>
    </row>
    <row r="684">
      <c r="B684" s="50"/>
      <c r="C684" s="59"/>
      <c r="H684" s="52"/>
      <c r="I684" s="44"/>
      <c r="J684" s="63"/>
    </row>
    <row r="685">
      <c r="B685" s="50"/>
      <c r="C685" s="59"/>
      <c r="H685" s="52"/>
      <c r="I685" s="44"/>
      <c r="J685" s="63"/>
    </row>
    <row r="686">
      <c r="B686" s="50"/>
      <c r="C686" s="59"/>
      <c r="H686" s="52"/>
      <c r="I686" s="44"/>
      <c r="J686" s="63"/>
    </row>
    <row r="687">
      <c r="B687" s="50"/>
      <c r="C687" s="59"/>
      <c r="H687" s="52"/>
      <c r="I687" s="44"/>
      <c r="J687" s="63"/>
    </row>
    <row r="688">
      <c r="B688" s="50"/>
      <c r="C688" s="59"/>
      <c r="H688" s="52"/>
      <c r="I688" s="44"/>
      <c r="J688" s="63"/>
    </row>
    <row r="689">
      <c r="B689" s="50"/>
      <c r="C689" s="59"/>
      <c r="H689" s="52"/>
      <c r="I689" s="44"/>
      <c r="J689" s="63"/>
    </row>
    <row r="690">
      <c r="B690" s="50"/>
      <c r="C690" s="59"/>
      <c r="H690" s="52"/>
      <c r="I690" s="44"/>
      <c r="J690" s="63"/>
    </row>
    <row r="691">
      <c r="B691" s="50"/>
      <c r="C691" s="59"/>
      <c r="H691" s="52"/>
      <c r="I691" s="44"/>
      <c r="J691" s="63"/>
    </row>
    <row r="692">
      <c r="B692" s="50"/>
      <c r="C692" s="59"/>
      <c r="H692" s="52"/>
      <c r="I692" s="44"/>
      <c r="J692" s="63"/>
    </row>
    <row r="693">
      <c r="B693" s="50"/>
      <c r="C693" s="59"/>
      <c r="H693" s="52"/>
      <c r="I693" s="44"/>
      <c r="J693" s="63"/>
    </row>
    <row r="694">
      <c r="B694" s="50"/>
      <c r="C694" s="59"/>
      <c r="H694" s="52"/>
      <c r="I694" s="44"/>
      <c r="J694" s="63"/>
    </row>
    <row r="695">
      <c r="B695" s="50"/>
      <c r="C695" s="59"/>
      <c r="H695" s="52"/>
      <c r="I695" s="44"/>
      <c r="J695" s="63"/>
    </row>
    <row r="696">
      <c r="B696" s="50"/>
      <c r="C696" s="59"/>
      <c r="H696" s="52"/>
      <c r="I696" s="44"/>
      <c r="J696" s="63"/>
    </row>
    <row r="697">
      <c r="B697" s="50"/>
      <c r="C697" s="59"/>
      <c r="H697" s="52"/>
      <c r="I697" s="44"/>
      <c r="J697" s="63"/>
    </row>
    <row r="698">
      <c r="B698" s="50"/>
      <c r="C698" s="59"/>
      <c r="H698" s="52"/>
      <c r="I698" s="44"/>
      <c r="J698" s="63"/>
    </row>
    <row r="699">
      <c r="B699" s="50"/>
      <c r="C699" s="59"/>
      <c r="H699" s="52"/>
      <c r="I699" s="44"/>
      <c r="J699" s="63"/>
    </row>
    <row r="700">
      <c r="B700" s="50"/>
      <c r="C700" s="59"/>
      <c r="H700" s="52"/>
      <c r="I700" s="44"/>
      <c r="J700" s="63"/>
    </row>
    <row r="701">
      <c r="B701" s="50"/>
      <c r="C701" s="59"/>
      <c r="H701" s="52"/>
      <c r="I701" s="44"/>
      <c r="J701" s="63"/>
    </row>
    <row r="702">
      <c r="B702" s="50"/>
      <c r="C702" s="59"/>
      <c r="H702" s="52"/>
      <c r="I702" s="44"/>
      <c r="J702" s="63"/>
    </row>
    <row r="703">
      <c r="B703" s="50"/>
      <c r="C703" s="59"/>
      <c r="H703" s="52"/>
      <c r="I703" s="44"/>
      <c r="J703" s="63"/>
    </row>
    <row r="704">
      <c r="B704" s="50"/>
      <c r="C704" s="59"/>
      <c r="H704" s="52"/>
      <c r="I704" s="44"/>
      <c r="J704" s="63"/>
    </row>
    <row r="705">
      <c r="B705" s="50"/>
      <c r="C705" s="59"/>
      <c r="H705" s="52"/>
      <c r="I705" s="44"/>
      <c r="J705" s="63"/>
    </row>
    <row r="706">
      <c r="B706" s="50"/>
      <c r="C706" s="59"/>
      <c r="H706" s="52"/>
      <c r="I706" s="44"/>
      <c r="J706" s="63"/>
    </row>
    <row r="707">
      <c r="B707" s="50"/>
      <c r="C707" s="59"/>
      <c r="H707" s="52"/>
      <c r="I707" s="44"/>
      <c r="J707" s="63"/>
    </row>
    <row r="708">
      <c r="B708" s="50"/>
      <c r="C708" s="59"/>
      <c r="H708" s="52"/>
      <c r="I708" s="44"/>
      <c r="J708" s="63"/>
    </row>
    <row r="709">
      <c r="B709" s="50"/>
      <c r="C709" s="59"/>
      <c r="H709" s="52"/>
      <c r="I709" s="44"/>
      <c r="J709" s="63"/>
    </row>
    <row r="710">
      <c r="B710" s="50"/>
      <c r="C710" s="59"/>
      <c r="H710" s="52"/>
      <c r="I710" s="44"/>
      <c r="J710" s="63"/>
    </row>
    <row r="711">
      <c r="B711" s="50"/>
      <c r="C711" s="59"/>
      <c r="H711" s="52"/>
      <c r="I711" s="44"/>
      <c r="J711" s="63"/>
    </row>
    <row r="712">
      <c r="B712" s="50"/>
      <c r="C712" s="59"/>
      <c r="H712" s="52"/>
      <c r="I712" s="44"/>
      <c r="J712" s="63"/>
    </row>
    <row r="713">
      <c r="B713" s="50"/>
      <c r="C713" s="59"/>
      <c r="H713" s="52"/>
      <c r="I713" s="44"/>
      <c r="J713" s="63"/>
    </row>
    <row r="714">
      <c r="B714" s="50"/>
      <c r="C714" s="59"/>
      <c r="H714" s="52"/>
      <c r="I714" s="44"/>
      <c r="J714" s="63"/>
    </row>
    <row r="715">
      <c r="B715" s="50"/>
      <c r="C715" s="59"/>
      <c r="H715" s="52"/>
      <c r="I715" s="44"/>
      <c r="J715" s="63"/>
    </row>
    <row r="716">
      <c r="B716" s="50"/>
      <c r="C716" s="59"/>
      <c r="H716" s="52"/>
      <c r="I716" s="44"/>
      <c r="J716" s="63"/>
    </row>
    <row r="717">
      <c r="B717" s="50"/>
      <c r="C717" s="59"/>
      <c r="H717" s="52"/>
      <c r="I717" s="44"/>
      <c r="J717" s="63"/>
    </row>
    <row r="718">
      <c r="B718" s="50"/>
      <c r="C718" s="59"/>
      <c r="H718" s="52"/>
      <c r="I718" s="44"/>
      <c r="J718" s="63"/>
    </row>
    <row r="719">
      <c r="B719" s="50"/>
      <c r="C719" s="59"/>
      <c r="H719" s="52"/>
      <c r="I719" s="44"/>
      <c r="J719" s="63"/>
    </row>
    <row r="720">
      <c r="B720" s="50"/>
      <c r="C720" s="59"/>
      <c r="H720" s="52"/>
      <c r="I720" s="44"/>
      <c r="J720" s="63"/>
    </row>
    <row r="721">
      <c r="B721" s="50"/>
      <c r="C721" s="59"/>
      <c r="H721" s="52"/>
      <c r="I721" s="44"/>
      <c r="J721" s="63"/>
    </row>
    <row r="722">
      <c r="B722" s="50"/>
      <c r="C722" s="59"/>
      <c r="H722" s="52"/>
      <c r="I722" s="44"/>
      <c r="J722" s="63"/>
    </row>
    <row r="723">
      <c r="B723" s="50"/>
      <c r="C723" s="59"/>
      <c r="H723" s="52"/>
      <c r="I723" s="44"/>
      <c r="J723" s="63"/>
    </row>
    <row r="724">
      <c r="B724" s="50"/>
      <c r="C724" s="59"/>
      <c r="H724" s="52"/>
      <c r="I724" s="44"/>
      <c r="J724" s="63"/>
    </row>
    <row r="725">
      <c r="B725" s="50"/>
      <c r="C725" s="59"/>
      <c r="H725" s="52"/>
      <c r="I725" s="44"/>
      <c r="J725" s="63"/>
    </row>
    <row r="726">
      <c r="B726" s="50"/>
      <c r="C726" s="59"/>
      <c r="H726" s="52"/>
      <c r="I726" s="44"/>
      <c r="J726" s="63"/>
    </row>
    <row r="727">
      <c r="B727" s="50"/>
      <c r="C727" s="59"/>
      <c r="H727" s="52"/>
      <c r="I727" s="44"/>
      <c r="J727" s="63"/>
    </row>
    <row r="728">
      <c r="B728" s="50"/>
      <c r="C728" s="59"/>
      <c r="H728" s="52"/>
      <c r="I728" s="44"/>
      <c r="J728" s="63"/>
    </row>
    <row r="729">
      <c r="B729" s="50"/>
      <c r="C729" s="59"/>
      <c r="H729" s="52"/>
      <c r="I729" s="44"/>
      <c r="J729" s="63"/>
    </row>
    <row r="730">
      <c r="B730" s="50"/>
      <c r="C730" s="59"/>
      <c r="H730" s="52"/>
      <c r="I730" s="44"/>
      <c r="J730" s="63"/>
    </row>
    <row r="731">
      <c r="B731" s="50"/>
      <c r="C731" s="59"/>
      <c r="H731" s="52"/>
      <c r="I731" s="44"/>
      <c r="J731" s="63"/>
    </row>
    <row r="732">
      <c r="B732" s="50"/>
      <c r="C732" s="59"/>
      <c r="H732" s="52"/>
      <c r="I732" s="44"/>
      <c r="J732" s="63"/>
    </row>
    <row r="733">
      <c r="B733" s="50"/>
      <c r="C733" s="59"/>
      <c r="H733" s="52"/>
      <c r="I733" s="44"/>
      <c r="J733" s="63"/>
    </row>
    <row r="734">
      <c r="B734" s="50"/>
      <c r="C734" s="59"/>
      <c r="H734" s="52"/>
      <c r="I734" s="44"/>
      <c r="J734" s="63"/>
    </row>
    <row r="735">
      <c r="B735" s="50"/>
      <c r="C735" s="59"/>
      <c r="H735" s="52"/>
      <c r="I735" s="44"/>
      <c r="J735" s="63"/>
    </row>
    <row r="736">
      <c r="B736" s="50"/>
      <c r="C736" s="59"/>
      <c r="H736" s="52"/>
      <c r="I736" s="44"/>
      <c r="J736" s="63"/>
    </row>
    <row r="737">
      <c r="B737" s="50"/>
      <c r="C737" s="59"/>
      <c r="H737" s="52"/>
      <c r="I737" s="44"/>
      <c r="J737" s="63"/>
    </row>
    <row r="738">
      <c r="B738" s="50"/>
      <c r="C738" s="59"/>
      <c r="H738" s="52"/>
      <c r="I738" s="44"/>
      <c r="J738" s="63"/>
    </row>
    <row r="739">
      <c r="B739" s="50"/>
      <c r="C739" s="59"/>
      <c r="H739" s="52"/>
      <c r="I739" s="44"/>
      <c r="J739" s="63"/>
    </row>
    <row r="740">
      <c r="B740" s="50"/>
      <c r="C740" s="59"/>
      <c r="H740" s="52"/>
      <c r="I740" s="44"/>
      <c r="J740" s="63"/>
    </row>
    <row r="741">
      <c r="B741" s="50"/>
      <c r="C741" s="59"/>
      <c r="H741" s="52"/>
      <c r="I741" s="44"/>
      <c r="J741" s="63"/>
    </row>
    <row r="742">
      <c r="B742" s="50"/>
      <c r="C742" s="59"/>
      <c r="H742" s="52"/>
      <c r="I742" s="44"/>
      <c r="J742" s="63"/>
    </row>
    <row r="743">
      <c r="B743" s="50"/>
      <c r="C743" s="59"/>
      <c r="H743" s="52"/>
      <c r="I743" s="44"/>
      <c r="J743" s="63"/>
    </row>
    <row r="744">
      <c r="B744" s="50"/>
      <c r="C744" s="59"/>
      <c r="H744" s="52"/>
      <c r="I744" s="44"/>
      <c r="J744" s="63"/>
    </row>
    <row r="745">
      <c r="B745" s="50"/>
      <c r="C745" s="59"/>
      <c r="H745" s="52"/>
      <c r="I745" s="44"/>
      <c r="J745" s="63"/>
    </row>
    <row r="746">
      <c r="B746" s="50"/>
      <c r="C746" s="59"/>
      <c r="H746" s="52"/>
      <c r="I746" s="44"/>
      <c r="J746" s="63"/>
    </row>
    <row r="747">
      <c r="B747" s="50"/>
      <c r="C747" s="59"/>
      <c r="H747" s="52"/>
      <c r="I747" s="44"/>
      <c r="J747" s="63"/>
    </row>
    <row r="748">
      <c r="B748" s="50"/>
      <c r="C748" s="59"/>
      <c r="H748" s="52"/>
      <c r="I748" s="44"/>
      <c r="J748" s="63"/>
    </row>
    <row r="749">
      <c r="B749" s="50"/>
      <c r="C749" s="59"/>
      <c r="H749" s="52"/>
      <c r="I749" s="44"/>
      <c r="J749" s="63"/>
    </row>
    <row r="750">
      <c r="B750" s="50"/>
      <c r="C750" s="59"/>
      <c r="H750" s="52"/>
      <c r="I750" s="44"/>
      <c r="J750" s="63"/>
    </row>
    <row r="751">
      <c r="B751" s="50"/>
      <c r="C751" s="59"/>
      <c r="H751" s="52"/>
      <c r="I751" s="44"/>
      <c r="J751" s="63"/>
    </row>
    <row r="752">
      <c r="B752" s="50"/>
      <c r="C752" s="59"/>
      <c r="H752" s="52"/>
      <c r="I752" s="44"/>
      <c r="J752" s="63"/>
    </row>
    <row r="753">
      <c r="B753" s="50"/>
      <c r="C753" s="59"/>
      <c r="H753" s="52"/>
      <c r="I753" s="44"/>
      <c r="J753" s="63"/>
    </row>
    <row r="754">
      <c r="B754" s="50"/>
      <c r="C754" s="59"/>
      <c r="H754" s="52"/>
      <c r="I754" s="44"/>
      <c r="J754" s="63"/>
    </row>
    <row r="755">
      <c r="B755" s="50"/>
      <c r="C755" s="59"/>
      <c r="H755" s="52"/>
      <c r="I755" s="44"/>
      <c r="J755" s="63"/>
    </row>
    <row r="756">
      <c r="B756" s="50"/>
      <c r="C756" s="59"/>
      <c r="H756" s="52"/>
      <c r="I756" s="44"/>
      <c r="J756" s="63"/>
    </row>
    <row r="757">
      <c r="B757" s="50"/>
      <c r="C757" s="59"/>
      <c r="H757" s="52"/>
      <c r="I757" s="44"/>
      <c r="J757" s="63"/>
    </row>
    <row r="758">
      <c r="B758" s="50"/>
      <c r="C758" s="59"/>
      <c r="H758" s="52"/>
      <c r="I758" s="44"/>
      <c r="J758" s="63"/>
    </row>
    <row r="759">
      <c r="B759" s="50"/>
      <c r="C759" s="59"/>
      <c r="H759" s="52"/>
      <c r="I759" s="44"/>
      <c r="J759" s="63"/>
    </row>
    <row r="760">
      <c r="B760" s="50"/>
      <c r="C760" s="59"/>
      <c r="H760" s="52"/>
      <c r="I760" s="44"/>
      <c r="J760" s="63"/>
    </row>
    <row r="761">
      <c r="B761" s="50"/>
      <c r="C761" s="59"/>
      <c r="H761" s="52"/>
      <c r="I761" s="44"/>
      <c r="J761" s="63"/>
    </row>
    <row r="762">
      <c r="B762" s="50"/>
      <c r="C762" s="59"/>
      <c r="H762" s="52"/>
      <c r="I762" s="44"/>
      <c r="J762" s="63"/>
    </row>
    <row r="763">
      <c r="B763" s="50"/>
      <c r="C763" s="59"/>
      <c r="H763" s="52"/>
      <c r="I763" s="44"/>
      <c r="J763" s="63"/>
    </row>
    <row r="764">
      <c r="B764" s="50"/>
      <c r="C764" s="59"/>
      <c r="H764" s="52"/>
      <c r="I764" s="44"/>
      <c r="J764" s="63"/>
    </row>
    <row r="765">
      <c r="B765" s="50"/>
      <c r="C765" s="59"/>
      <c r="H765" s="52"/>
      <c r="I765" s="44"/>
      <c r="J765" s="63"/>
    </row>
    <row r="766">
      <c r="B766" s="50"/>
      <c r="C766" s="59"/>
      <c r="H766" s="52"/>
      <c r="I766" s="44"/>
      <c r="J766" s="63"/>
    </row>
    <row r="767">
      <c r="B767" s="50"/>
      <c r="C767" s="59"/>
      <c r="H767" s="52"/>
      <c r="I767" s="44"/>
      <c r="J767" s="63"/>
    </row>
    <row r="768">
      <c r="B768" s="50"/>
      <c r="C768" s="59"/>
      <c r="H768" s="52"/>
      <c r="I768" s="44"/>
      <c r="J768" s="63"/>
    </row>
    <row r="769">
      <c r="B769" s="50"/>
      <c r="C769" s="59"/>
      <c r="H769" s="52"/>
      <c r="I769" s="44"/>
      <c r="J769" s="63"/>
    </row>
    <row r="770">
      <c r="B770" s="50"/>
      <c r="C770" s="59"/>
      <c r="H770" s="52"/>
      <c r="I770" s="44"/>
      <c r="J770" s="63"/>
    </row>
    <row r="771">
      <c r="B771" s="50"/>
      <c r="C771" s="59"/>
      <c r="H771" s="52"/>
      <c r="I771" s="44"/>
      <c r="J771" s="63"/>
    </row>
    <row r="772">
      <c r="B772" s="50"/>
      <c r="C772" s="59"/>
      <c r="H772" s="52"/>
      <c r="I772" s="44"/>
      <c r="J772" s="63"/>
    </row>
    <row r="773">
      <c r="B773" s="50"/>
      <c r="C773" s="59"/>
      <c r="H773" s="52"/>
      <c r="I773" s="44"/>
      <c r="J773" s="63"/>
    </row>
    <row r="774">
      <c r="B774" s="50"/>
      <c r="C774" s="59"/>
      <c r="H774" s="52"/>
      <c r="I774" s="44"/>
      <c r="J774" s="63"/>
    </row>
    <row r="775">
      <c r="B775" s="50"/>
      <c r="C775" s="59"/>
      <c r="H775" s="52"/>
      <c r="I775" s="44"/>
      <c r="J775" s="63"/>
    </row>
    <row r="776">
      <c r="B776" s="50"/>
      <c r="C776" s="59"/>
      <c r="H776" s="52"/>
      <c r="I776" s="44"/>
      <c r="J776" s="63"/>
    </row>
    <row r="777">
      <c r="B777" s="50"/>
      <c r="C777" s="59"/>
      <c r="H777" s="52"/>
      <c r="I777" s="44"/>
      <c r="J777" s="63"/>
    </row>
    <row r="778">
      <c r="B778" s="50"/>
      <c r="C778" s="59"/>
      <c r="H778" s="52"/>
      <c r="I778" s="44"/>
      <c r="J778" s="63"/>
    </row>
    <row r="779">
      <c r="B779" s="50"/>
      <c r="C779" s="59"/>
      <c r="H779" s="52"/>
      <c r="I779" s="44"/>
      <c r="J779" s="63"/>
    </row>
    <row r="780">
      <c r="B780" s="50"/>
      <c r="C780" s="59"/>
      <c r="H780" s="52"/>
      <c r="I780" s="44"/>
      <c r="J780" s="63"/>
    </row>
    <row r="781">
      <c r="B781" s="50"/>
      <c r="C781" s="59"/>
      <c r="H781" s="52"/>
      <c r="I781" s="44"/>
      <c r="J781" s="63"/>
    </row>
    <row r="782">
      <c r="B782" s="50"/>
      <c r="C782" s="59"/>
      <c r="H782" s="52"/>
      <c r="I782" s="44"/>
      <c r="J782" s="63"/>
    </row>
    <row r="783">
      <c r="B783" s="50"/>
      <c r="C783" s="59"/>
      <c r="H783" s="52"/>
      <c r="I783" s="44"/>
      <c r="J783" s="63"/>
    </row>
    <row r="784">
      <c r="B784" s="50"/>
      <c r="C784" s="59"/>
      <c r="H784" s="52"/>
      <c r="I784" s="44"/>
      <c r="J784" s="63"/>
    </row>
    <row r="785">
      <c r="B785" s="50"/>
      <c r="C785" s="59"/>
      <c r="H785" s="52"/>
      <c r="I785" s="44"/>
      <c r="J785" s="63"/>
    </row>
    <row r="786">
      <c r="B786" s="50"/>
      <c r="C786" s="59"/>
      <c r="H786" s="52"/>
      <c r="I786" s="44"/>
      <c r="J786" s="63"/>
    </row>
    <row r="787">
      <c r="B787" s="50"/>
      <c r="C787" s="59"/>
      <c r="H787" s="52"/>
      <c r="I787" s="44"/>
      <c r="J787" s="63"/>
    </row>
    <row r="788">
      <c r="B788" s="50"/>
      <c r="C788" s="59"/>
      <c r="H788" s="52"/>
      <c r="I788" s="44"/>
      <c r="J788" s="63"/>
    </row>
    <row r="789">
      <c r="B789" s="50"/>
      <c r="C789" s="59"/>
      <c r="H789" s="52"/>
      <c r="I789" s="44"/>
      <c r="J789" s="63"/>
    </row>
    <row r="790">
      <c r="B790" s="50"/>
      <c r="C790" s="59"/>
      <c r="H790" s="52"/>
      <c r="I790" s="44"/>
      <c r="J790" s="63"/>
    </row>
    <row r="791">
      <c r="B791" s="50"/>
      <c r="C791" s="59"/>
      <c r="H791" s="52"/>
      <c r="I791" s="44"/>
      <c r="J791" s="63"/>
    </row>
    <row r="792">
      <c r="B792" s="50"/>
      <c r="C792" s="59"/>
      <c r="H792" s="52"/>
      <c r="I792" s="44"/>
      <c r="J792" s="63"/>
    </row>
    <row r="793">
      <c r="B793" s="50"/>
      <c r="C793" s="59"/>
      <c r="H793" s="52"/>
      <c r="I793" s="44"/>
      <c r="J793" s="63"/>
    </row>
    <row r="794">
      <c r="B794" s="50"/>
      <c r="C794" s="59"/>
      <c r="H794" s="52"/>
      <c r="I794" s="44"/>
      <c r="J794" s="63"/>
    </row>
    <row r="795">
      <c r="B795" s="50"/>
      <c r="C795" s="59"/>
      <c r="H795" s="52"/>
      <c r="I795" s="44"/>
      <c r="J795" s="63"/>
    </row>
    <row r="796">
      <c r="B796" s="50"/>
      <c r="C796" s="59"/>
      <c r="H796" s="52"/>
      <c r="I796" s="44"/>
      <c r="J796" s="63"/>
    </row>
    <row r="797">
      <c r="B797" s="50"/>
      <c r="C797" s="59"/>
      <c r="H797" s="52"/>
      <c r="I797" s="44"/>
      <c r="J797" s="63"/>
    </row>
    <row r="798">
      <c r="B798" s="50"/>
      <c r="C798" s="59"/>
      <c r="H798" s="52"/>
      <c r="I798" s="44"/>
      <c r="J798" s="63"/>
    </row>
    <row r="799">
      <c r="B799" s="50"/>
      <c r="C799" s="59"/>
      <c r="H799" s="52"/>
      <c r="I799" s="44"/>
      <c r="J799" s="63"/>
    </row>
    <row r="800">
      <c r="B800" s="50"/>
      <c r="C800" s="59"/>
      <c r="H800" s="52"/>
      <c r="I800" s="44"/>
      <c r="J800" s="63"/>
    </row>
    <row r="801">
      <c r="B801" s="50"/>
      <c r="C801" s="59"/>
      <c r="H801" s="52"/>
      <c r="I801" s="44"/>
      <c r="J801" s="63"/>
    </row>
    <row r="802">
      <c r="B802" s="50"/>
      <c r="C802" s="59"/>
      <c r="H802" s="52"/>
      <c r="I802" s="44"/>
      <c r="J802" s="63"/>
    </row>
    <row r="803">
      <c r="B803" s="50"/>
      <c r="C803" s="59"/>
      <c r="H803" s="52"/>
      <c r="I803" s="44"/>
      <c r="J803" s="63"/>
    </row>
    <row r="804">
      <c r="B804" s="50"/>
      <c r="C804" s="59"/>
      <c r="H804" s="52"/>
      <c r="I804" s="44"/>
      <c r="J804" s="63"/>
    </row>
    <row r="805">
      <c r="B805" s="50"/>
      <c r="C805" s="59"/>
      <c r="H805" s="52"/>
      <c r="I805" s="44"/>
      <c r="J805" s="63"/>
    </row>
    <row r="806">
      <c r="B806" s="50"/>
      <c r="C806" s="59"/>
      <c r="H806" s="52"/>
      <c r="I806" s="44"/>
      <c r="J806" s="63"/>
    </row>
    <row r="807">
      <c r="B807" s="50"/>
      <c r="C807" s="59"/>
      <c r="H807" s="52"/>
      <c r="I807" s="44"/>
      <c r="J807" s="63"/>
    </row>
    <row r="808">
      <c r="B808" s="50"/>
      <c r="C808" s="59"/>
      <c r="H808" s="52"/>
      <c r="I808" s="44"/>
      <c r="J808" s="63"/>
    </row>
    <row r="809">
      <c r="B809" s="50"/>
      <c r="C809" s="59"/>
      <c r="H809" s="52"/>
      <c r="I809" s="44"/>
      <c r="J809" s="63"/>
    </row>
    <row r="810">
      <c r="B810" s="50"/>
      <c r="C810" s="59"/>
      <c r="H810" s="52"/>
      <c r="I810" s="44"/>
      <c r="J810" s="63"/>
    </row>
    <row r="811">
      <c r="B811" s="50"/>
      <c r="C811" s="59"/>
      <c r="H811" s="52"/>
      <c r="I811" s="44"/>
      <c r="J811" s="63"/>
    </row>
    <row r="812">
      <c r="B812" s="50"/>
      <c r="C812" s="59"/>
      <c r="H812" s="52"/>
      <c r="I812" s="44"/>
      <c r="J812" s="63"/>
    </row>
    <row r="813">
      <c r="B813" s="50"/>
      <c r="C813" s="59"/>
      <c r="H813" s="52"/>
      <c r="I813" s="44"/>
      <c r="J813" s="63"/>
    </row>
    <row r="814">
      <c r="B814" s="50"/>
      <c r="C814" s="59"/>
      <c r="H814" s="52"/>
      <c r="I814" s="44"/>
      <c r="J814" s="63"/>
    </row>
    <row r="815">
      <c r="B815" s="50"/>
      <c r="C815" s="59"/>
      <c r="H815" s="52"/>
      <c r="I815" s="44"/>
      <c r="J815" s="63"/>
    </row>
    <row r="816">
      <c r="B816" s="50"/>
      <c r="C816" s="59"/>
      <c r="H816" s="52"/>
      <c r="I816" s="44"/>
      <c r="J816" s="63"/>
    </row>
    <row r="817">
      <c r="B817" s="50"/>
      <c r="C817" s="59"/>
      <c r="H817" s="52"/>
      <c r="I817" s="44"/>
      <c r="J817" s="63"/>
    </row>
    <row r="818">
      <c r="B818" s="50"/>
      <c r="C818" s="59"/>
      <c r="H818" s="52"/>
      <c r="I818" s="44"/>
      <c r="J818" s="63"/>
    </row>
    <row r="819">
      <c r="B819" s="50"/>
      <c r="C819" s="59"/>
      <c r="H819" s="52"/>
      <c r="I819" s="44"/>
      <c r="J819" s="63"/>
    </row>
    <row r="820">
      <c r="B820" s="50"/>
      <c r="C820" s="59"/>
      <c r="H820" s="52"/>
      <c r="I820" s="44"/>
      <c r="J820" s="63"/>
    </row>
    <row r="821">
      <c r="B821" s="50"/>
      <c r="C821" s="59"/>
      <c r="H821" s="52"/>
      <c r="I821" s="44"/>
      <c r="J821" s="63"/>
    </row>
    <row r="822">
      <c r="B822" s="50"/>
      <c r="C822" s="59"/>
      <c r="H822" s="52"/>
      <c r="I822" s="44"/>
      <c r="J822" s="63"/>
    </row>
    <row r="823">
      <c r="B823" s="50"/>
      <c r="C823" s="59"/>
      <c r="H823" s="52"/>
      <c r="I823" s="44"/>
      <c r="J823" s="63"/>
    </row>
    <row r="824">
      <c r="B824" s="50"/>
      <c r="C824" s="59"/>
      <c r="H824" s="52"/>
      <c r="I824" s="44"/>
      <c r="J824" s="63"/>
    </row>
    <row r="825">
      <c r="B825" s="50"/>
      <c r="C825" s="59"/>
      <c r="H825" s="52"/>
      <c r="I825" s="44"/>
      <c r="J825" s="63"/>
    </row>
    <row r="826">
      <c r="B826" s="50"/>
      <c r="C826" s="59"/>
      <c r="H826" s="52"/>
      <c r="I826" s="44"/>
      <c r="J826" s="63"/>
    </row>
    <row r="827">
      <c r="B827" s="50"/>
      <c r="C827" s="59"/>
      <c r="H827" s="52"/>
      <c r="I827" s="44"/>
      <c r="J827" s="63"/>
    </row>
    <row r="828">
      <c r="B828" s="50"/>
      <c r="C828" s="59"/>
      <c r="H828" s="52"/>
      <c r="I828" s="44"/>
      <c r="J828" s="63"/>
    </row>
    <row r="829">
      <c r="B829" s="50"/>
      <c r="C829" s="59"/>
      <c r="H829" s="52"/>
      <c r="I829" s="44"/>
      <c r="J829" s="63"/>
    </row>
    <row r="830">
      <c r="B830" s="50"/>
      <c r="C830" s="59"/>
      <c r="H830" s="52"/>
      <c r="I830" s="44"/>
      <c r="J830" s="63"/>
    </row>
    <row r="831">
      <c r="B831" s="50"/>
      <c r="C831" s="59"/>
      <c r="H831" s="52"/>
      <c r="I831" s="44"/>
      <c r="J831" s="63"/>
    </row>
    <row r="832">
      <c r="B832" s="50"/>
      <c r="C832" s="59"/>
      <c r="H832" s="52"/>
      <c r="I832" s="44"/>
      <c r="J832" s="63"/>
    </row>
    <row r="833">
      <c r="B833" s="50"/>
      <c r="C833" s="59"/>
      <c r="H833" s="52"/>
      <c r="I833" s="44"/>
      <c r="J833" s="63"/>
    </row>
    <row r="834">
      <c r="B834" s="50"/>
      <c r="C834" s="59"/>
      <c r="H834" s="52"/>
      <c r="I834" s="44"/>
      <c r="J834" s="63"/>
    </row>
    <row r="835">
      <c r="B835" s="50"/>
      <c r="C835" s="59"/>
      <c r="H835" s="52"/>
      <c r="I835" s="44"/>
      <c r="J835" s="63"/>
    </row>
    <row r="836">
      <c r="B836" s="50"/>
      <c r="C836" s="59"/>
      <c r="H836" s="52"/>
      <c r="I836" s="44"/>
      <c r="J836" s="63"/>
    </row>
    <row r="837">
      <c r="B837" s="50"/>
      <c r="C837" s="59"/>
      <c r="H837" s="52"/>
      <c r="I837" s="44"/>
      <c r="J837" s="63"/>
    </row>
    <row r="838">
      <c r="B838" s="50"/>
      <c r="C838" s="59"/>
      <c r="H838" s="52"/>
      <c r="I838" s="44"/>
      <c r="J838" s="63"/>
    </row>
    <row r="839">
      <c r="B839" s="50"/>
      <c r="C839" s="59"/>
      <c r="H839" s="52"/>
      <c r="I839" s="44"/>
      <c r="J839" s="63"/>
    </row>
    <row r="840">
      <c r="B840" s="50"/>
      <c r="C840" s="59"/>
      <c r="H840" s="52"/>
      <c r="I840" s="44"/>
      <c r="J840" s="63"/>
    </row>
    <row r="841">
      <c r="B841" s="50"/>
      <c r="C841" s="59"/>
      <c r="H841" s="52"/>
      <c r="I841" s="44"/>
      <c r="J841" s="63"/>
    </row>
    <row r="842">
      <c r="B842" s="50"/>
      <c r="C842" s="59"/>
      <c r="H842" s="52"/>
      <c r="I842" s="44"/>
      <c r="J842" s="63"/>
    </row>
    <row r="843">
      <c r="B843" s="50"/>
      <c r="C843" s="59"/>
      <c r="H843" s="52"/>
      <c r="I843" s="44"/>
      <c r="J843" s="63"/>
    </row>
    <row r="844">
      <c r="B844" s="50"/>
      <c r="C844" s="59"/>
      <c r="H844" s="52"/>
      <c r="I844" s="44"/>
      <c r="J844" s="63"/>
    </row>
    <row r="845">
      <c r="B845" s="50"/>
      <c r="C845" s="59"/>
      <c r="H845" s="52"/>
      <c r="I845" s="44"/>
      <c r="J845" s="63"/>
    </row>
    <row r="846">
      <c r="B846" s="50"/>
      <c r="C846" s="59"/>
      <c r="H846" s="52"/>
      <c r="I846" s="44"/>
      <c r="J846" s="63"/>
    </row>
    <row r="847">
      <c r="B847" s="50"/>
      <c r="C847" s="59"/>
      <c r="H847" s="52"/>
      <c r="I847" s="44"/>
      <c r="J847" s="63"/>
    </row>
    <row r="848">
      <c r="B848" s="50"/>
      <c r="C848" s="59"/>
      <c r="H848" s="52"/>
      <c r="I848" s="44"/>
      <c r="J848" s="63"/>
    </row>
    <row r="849">
      <c r="B849" s="50"/>
      <c r="C849" s="59"/>
      <c r="H849" s="52"/>
      <c r="I849" s="44"/>
      <c r="J849" s="63"/>
    </row>
    <row r="850">
      <c r="B850" s="50"/>
      <c r="C850" s="59"/>
      <c r="H850" s="52"/>
      <c r="I850" s="44"/>
      <c r="J850" s="63"/>
    </row>
    <row r="851">
      <c r="B851" s="50"/>
      <c r="C851" s="59"/>
      <c r="H851" s="52"/>
      <c r="I851" s="44"/>
      <c r="J851" s="63"/>
    </row>
    <row r="852">
      <c r="B852" s="50"/>
      <c r="C852" s="59"/>
      <c r="H852" s="52"/>
      <c r="I852" s="44"/>
      <c r="J852" s="63"/>
    </row>
    <row r="853">
      <c r="B853" s="50"/>
      <c r="C853" s="59"/>
      <c r="H853" s="52"/>
      <c r="I853" s="44"/>
      <c r="J853" s="63"/>
    </row>
    <row r="854">
      <c r="B854" s="50"/>
      <c r="C854" s="59"/>
      <c r="H854" s="52"/>
      <c r="I854" s="44"/>
      <c r="J854" s="63"/>
    </row>
    <row r="855">
      <c r="B855" s="50"/>
      <c r="C855" s="59"/>
      <c r="H855" s="52"/>
      <c r="I855" s="44"/>
      <c r="J855" s="63"/>
    </row>
    <row r="856">
      <c r="B856" s="50"/>
      <c r="C856" s="59"/>
      <c r="H856" s="52"/>
      <c r="I856" s="44"/>
      <c r="J856" s="63"/>
    </row>
    <row r="857">
      <c r="B857" s="50"/>
      <c r="C857" s="59"/>
      <c r="H857" s="52"/>
      <c r="I857" s="44"/>
      <c r="J857" s="63"/>
    </row>
    <row r="858">
      <c r="B858" s="50"/>
      <c r="C858" s="59"/>
      <c r="H858" s="52"/>
      <c r="I858" s="44"/>
      <c r="J858" s="63"/>
    </row>
    <row r="859">
      <c r="B859" s="50"/>
      <c r="C859" s="59"/>
      <c r="H859" s="52"/>
      <c r="I859" s="44"/>
      <c r="J859" s="63"/>
    </row>
    <row r="860">
      <c r="B860" s="50"/>
      <c r="C860" s="59"/>
      <c r="H860" s="52"/>
      <c r="I860" s="44"/>
      <c r="J860" s="63"/>
    </row>
    <row r="861">
      <c r="B861" s="50"/>
      <c r="C861" s="59"/>
      <c r="H861" s="52"/>
      <c r="I861" s="44"/>
      <c r="J861" s="63"/>
    </row>
    <row r="862">
      <c r="B862" s="50"/>
      <c r="C862" s="59"/>
      <c r="H862" s="52"/>
      <c r="I862" s="44"/>
      <c r="J862" s="63"/>
    </row>
    <row r="863">
      <c r="B863" s="50"/>
      <c r="C863" s="59"/>
      <c r="H863" s="52"/>
      <c r="I863" s="44"/>
      <c r="J863" s="63"/>
    </row>
    <row r="864">
      <c r="B864" s="50"/>
      <c r="C864" s="59"/>
      <c r="H864" s="52"/>
      <c r="I864" s="44"/>
      <c r="J864" s="63"/>
    </row>
    <row r="865">
      <c r="B865" s="50"/>
      <c r="C865" s="59"/>
      <c r="H865" s="52"/>
      <c r="I865" s="44"/>
      <c r="J865" s="63"/>
    </row>
    <row r="866">
      <c r="B866" s="50"/>
      <c r="C866" s="59"/>
      <c r="H866" s="52"/>
      <c r="I866" s="44"/>
      <c r="J866" s="63"/>
    </row>
    <row r="867">
      <c r="B867" s="50"/>
      <c r="C867" s="59"/>
      <c r="H867" s="52"/>
      <c r="I867" s="44"/>
      <c r="J867" s="63"/>
    </row>
    <row r="868">
      <c r="B868" s="50"/>
      <c r="C868" s="59"/>
      <c r="H868" s="52"/>
      <c r="I868" s="44"/>
      <c r="J868" s="63"/>
    </row>
    <row r="869">
      <c r="B869" s="50"/>
      <c r="C869" s="59"/>
      <c r="H869" s="52"/>
      <c r="I869" s="44"/>
      <c r="J869" s="63"/>
    </row>
    <row r="870">
      <c r="B870" s="50"/>
      <c r="C870" s="59"/>
      <c r="H870" s="52"/>
      <c r="I870" s="44"/>
      <c r="J870" s="63"/>
    </row>
    <row r="871">
      <c r="B871" s="50"/>
      <c r="C871" s="59"/>
      <c r="H871" s="52"/>
      <c r="I871" s="44"/>
      <c r="J871" s="63"/>
    </row>
    <row r="872">
      <c r="B872" s="50"/>
      <c r="C872" s="59"/>
      <c r="H872" s="52"/>
      <c r="I872" s="44"/>
      <c r="J872" s="63"/>
    </row>
    <row r="873">
      <c r="B873" s="50"/>
      <c r="C873" s="59"/>
      <c r="H873" s="52"/>
      <c r="I873" s="44"/>
      <c r="J873" s="63"/>
    </row>
    <row r="874">
      <c r="B874" s="50"/>
      <c r="C874" s="59"/>
      <c r="H874" s="52"/>
      <c r="I874" s="44"/>
      <c r="J874" s="63"/>
    </row>
    <row r="875">
      <c r="B875" s="50"/>
      <c r="C875" s="59"/>
      <c r="H875" s="52"/>
      <c r="I875" s="44"/>
      <c r="J875" s="63"/>
    </row>
    <row r="876">
      <c r="B876" s="50"/>
      <c r="C876" s="59"/>
      <c r="H876" s="52"/>
      <c r="I876" s="44"/>
      <c r="J876" s="63"/>
    </row>
    <row r="877">
      <c r="B877" s="50"/>
      <c r="C877" s="59"/>
      <c r="H877" s="52"/>
      <c r="I877" s="44"/>
      <c r="J877" s="63"/>
    </row>
    <row r="878">
      <c r="B878" s="50"/>
      <c r="C878" s="59"/>
      <c r="H878" s="52"/>
      <c r="I878" s="44"/>
      <c r="J878" s="63"/>
    </row>
    <row r="879">
      <c r="B879" s="50"/>
      <c r="C879" s="59"/>
      <c r="H879" s="52"/>
      <c r="I879" s="44"/>
      <c r="J879" s="63"/>
    </row>
    <row r="880">
      <c r="B880" s="50"/>
      <c r="C880" s="59"/>
      <c r="H880" s="52"/>
      <c r="I880" s="44"/>
      <c r="J880" s="63"/>
    </row>
    <row r="881">
      <c r="B881" s="50"/>
      <c r="C881" s="59"/>
      <c r="H881" s="52"/>
      <c r="I881" s="44"/>
      <c r="J881" s="63"/>
    </row>
    <row r="882">
      <c r="B882" s="50"/>
      <c r="C882" s="59"/>
      <c r="H882" s="52"/>
      <c r="I882" s="44"/>
      <c r="J882" s="63"/>
    </row>
    <row r="883">
      <c r="B883" s="50"/>
      <c r="C883" s="59"/>
      <c r="H883" s="52"/>
      <c r="I883" s="44"/>
      <c r="J883" s="63"/>
    </row>
    <row r="884">
      <c r="B884" s="50"/>
      <c r="C884" s="59"/>
      <c r="H884" s="52"/>
      <c r="I884" s="44"/>
      <c r="J884" s="63"/>
    </row>
    <row r="885">
      <c r="B885" s="50"/>
      <c r="C885" s="59"/>
      <c r="H885" s="52"/>
      <c r="I885" s="44"/>
      <c r="J885" s="63"/>
    </row>
    <row r="886">
      <c r="B886" s="50"/>
      <c r="C886" s="59"/>
      <c r="H886" s="52"/>
      <c r="I886" s="44"/>
      <c r="J886" s="63"/>
    </row>
    <row r="887">
      <c r="B887" s="50"/>
      <c r="C887" s="59"/>
      <c r="H887" s="52"/>
      <c r="I887" s="44"/>
      <c r="J887" s="63"/>
    </row>
    <row r="888">
      <c r="B888" s="50"/>
      <c r="C888" s="59"/>
      <c r="H888" s="52"/>
      <c r="I888" s="44"/>
      <c r="J888" s="63"/>
    </row>
    <row r="889">
      <c r="B889" s="50"/>
      <c r="C889" s="59"/>
      <c r="H889" s="52"/>
      <c r="I889" s="44"/>
      <c r="J889" s="63"/>
    </row>
    <row r="890">
      <c r="B890" s="50"/>
      <c r="C890" s="59"/>
      <c r="H890" s="52"/>
      <c r="I890" s="44"/>
      <c r="J890" s="63"/>
    </row>
    <row r="891">
      <c r="B891" s="50"/>
      <c r="C891" s="59"/>
      <c r="H891" s="52"/>
      <c r="I891" s="44"/>
      <c r="J891" s="63"/>
    </row>
    <row r="892">
      <c r="B892" s="50"/>
      <c r="C892" s="59"/>
      <c r="H892" s="52"/>
      <c r="I892" s="44"/>
      <c r="J892" s="63"/>
    </row>
    <row r="893">
      <c r="B893" s="50"/>
      <c r="C893" s="59"/>
      <c r="H893" s="52"/>
      <c r="I893" s="44"/>
      <c r="J893" s="63"/>
    </row>
    <row r="894">
      <c r="B894" s="50"/>
      <c r="C894" s="59"/>
      <c r="H894" s="52"/>
      <c r="I894" s="44"/>
      <c r="J894" s="63"/>
    </row>
    <row r="895">
      <c r="B895" s="50"/>
      <c r="C895" s="59"/>
      <c r="H895" s="52"/>
      <c r="I895" s="44"/>
      <c r="J895" s="63"/>
    </row>
    <row r="896">
      <c r="B896" s="50"/>
      <c r="C896" s="59"/>
      <c r="H896" s="52"/>
      <c r="I896" s="44"/>
      <c r="J896" s="63"/>
    </row>
    <row r="897">
      <c r="B897" s="50"/>
      <c r="C897" s="59"/>
      <c r="H897" s="52"/>
      <c r="I897" s="44"/>
      <c r="J897" s="63"/>
    </row>
    <row r="898">
      <c r="B898" s="50"/>
      <c r="C898" s="59"/>
      <c r="H898" s="52"/>
      <c r="I898" s="44"/>
      <c r="J898" s="63"/>
    </row>
    <row r="899">
      <c r="B899" s="50"/>
      <c r="C899" s="59"/>
      <c r="H899" s="52"/>
      <c r="I899" s="44"/>
      <c r="J899" s="63"/>
    </row>
    <row r="900">
      <c r="B900" s="50"/>
      <c r="C900" s="59"/>
      <c r="H900" s="52"/>
      <c r="I900" s="44"/>
      <c r="J900" s="63"/>
    </row>
    <row r="901">
      <c r="B901" s="50"/>
      <c r="C901" s="59"/>
      <c r="H901" s="52"/>
      <c r="I901" s="44"/>
      <c r="J901" s="63"/>
    </row>
    <row r="902">
      <c r="B902" s="50"/>
      <c r="C902" s="59"/>
      <c r="H902" s="52"/>
      <c r="I902" s="44"/>
      <c r="J902" s="63"/>
    </row>
    <row r="903">
      <c r="B903" s="50"/>
      <c r="C903" s="59"/>
      <c r="H903" s="52"/>
      <c r="I903" s="44"/>
      <c r="J903" s="63"/>
    </row>
    <row r="904">
      <c r="B904" s="50"/>
      <c r="C904" s="59"/>
      <c r="H904" s="52"/>
      <c r="I904" s="44"/>
      <c r="J904" s="63"/>
    </row>
    <row r="905">
      <c r="B905" s="50"/>
      <c r="C905" s="59"/>
      <c r="H905" s="52"/>
      <c r="I905" s="44"/>
      <c r="J905" s="63"/>
    </row>
    <row r="906">
      <c r="B906" s="50"/>
      <c r="C906" s="59"/>
      <c r="H906" s="52"/>
      <c r="I906" s="44"/>
      <c r="J906" s="63"/>
    </row>
    <row r="907">
      <c r="B907" s="50"/>
      <c r="C907" s="59"/>
      <c r="H907" s="52"/>
      <c r="I907" s="44"/>
      <c r="J907" s="63"/>
    </row>
    <row r="908">
      <c r="B908" s="50"/>
      <c r="C908" s="59"/>
      <c r="H908" s="52"/>
      <c r="I908" s="44"/>
      <c r="J908" s="63"/>
    </row>
    <row r="909">
      <c r="B909" s="50"/>
      <c r="C909" s="59"/>
      <c r="H909" s="52"/>
      <c r="I909" s="44"/>
      <c r="J909" s="63"/>
    </row>
    <row r="910">
      <c r="B910" s="50"/>
      <c r="C910" s="59"/>
      <c r="H910" s="52"/>
      <c r="I910" s="44"/>
      <c r="J910" s="63"/>
    </row>
    <row r="911">
      <c r="B911" s="50"/>
      <c r="C911" s="59"/>
      <c r="H911" s="52"/>
      <c r="I911" s="44"/>
      <c r="J911" s="63"/>
    </row>
    <row r="912">
      <c r="B912" s="50"/>
      <c r="C912" s="59"/>
      <c r="H912" s="52"/>
      <c r="I912" s="44"/>
      <c r="J912" s="63"/>
    </row>
    <row r="913">
      <c r="B913" s="50"/>
      <c r="C913" s="59"/>
      <c r="H913" s="52"/>
      <c r="I913" s="44"/>
      <c r="J913" s="63"/>
    </row>
    <row r="914">
      <c r="B914" s="50"/>
      <c r="C914" s="59"/>
      <c r="H914" s="52"/>
      <c r="I914" s="44"/>
      <c r="J914" s="63"/>
    </row>
    <row r="915">
      <c r="B915" s="50"/>
      <c r="C915" s="59"/>
      <c r="H915" s="52"/>
      <c r="I915" s="44"/>
      <c r="J915" s="63"/>
    </row>
    <row r="916">
      <c r="B916" s="50"/>
      <c r="C916" s="59"/>
      <c r="H916" s="52"/>
      <c r="I916" s="44"/>
      <c r="J916" s="63"/>
    </row>
    <row r="917">
      <c r="B917" s="50"/>
      <c r="C917" s="59"/>
      <c r="H917" s="52"/>
      <c r="I917" s="44"/>
      <c r="J917" s="63"/>
    </row>
    <row r="918">
      <c r="B918" s="50"/>
      <c r="C918" s="59"/>
      <c r="H918" s="52"/>
      <c r="I918" s="44"/>
      <c r="J918" s="63"/>
    </row>
    <row r="919">
      <c r="B919" s="50"/>
      <c r="C919" s="59"/>
      <c r="H919" s="52"/>
      <c r="I919" s="44"/>
      <c r="J919" s="63"/>
    </row>
    <row r="920">
      <c r="B920" s="50"/>
      <c r="C920" s="59"/>
      <c r="H920" s="52"/>
      <c r="I920" s="44"/>
      <c r="J920" s="63"/>
    </row>
    <row r="921">
      <c r="B921" s="50"/>
      <c r="C921" s="59"/>
      <c r="H921" s="52"/>
      <c r="I921" s="44"/>
      <c r="J921" s="63"/>
    </row>
    <row r="922">
      <c r="B922" s="50"/>
      <c r="C922" s="59"/>
      <c r="H922" s="52"/>
      <c r="I922" s="44"/>
      <c r="J922" s="63"/>
    </row>
    <row r="923">
      <c r="B923" s="50"/>
      <c r="C923" s="59"/>
      <c r="H923" s="52"/>
      <c r="I923" s="44"/>
      <c r="J923" s="63"/>
    </row>
    <row r="924">
      <c r="B924" s="50"/>
      <c r="C924" s="59"/>
      <c r="H924" s="52"/>
      <c r="I924" s="44"/>
      <c r="J924" s="63"/>
    </row>
    <row r="925">
      <c r="B925" s="50"/>
      <c r="C925" s="59"/>
      <c r="H925" s="52"/>
      <c r="I925" s="44"/>
      <c r="J925" s="63"/>
    </row>
    <row r="926">
      <c r="B926" s="50"/>
      <c r="C926" s="59"/>
      <c r="H926" s="52"/>
      <c r="I926" s="44"/>
      <c r="J926" s="63"/>
    </row>
    <row r="927">
      <c r="B927" s="50"/>
      <c r="C927" s="59"/>
      <c r="H927" s="52"/>
      <c r="I927" s="44"/>
      <c r="J927" s="63"/>
    </row>
    <row r="928">
      <c r="B928" s="50"/>
      <c r="C928" s="59"/>
      <c r="H928" s="52"/>
      <c r="I928" s="44"/>
      <c r="J928" s="63"/>
    </row>
    <row r="929">
      <c r="B929" s="50"/>
      <c r="C929" s="59"/>
      <c r="H929" s="52"/>
      <c r="I929" s="44"/>
      <c r="J929" s="63"/>
    </row>
    <row r="930">
      <c r="B930" s="50"/>
      <c r="C930" s="59"/>
      <c r="H930" s="52"/>
      <c r="I930" s="44"/>
      <c r="J930" s="63"/>
    </row>
    <row r="931">
      <c r="B931" s="50"/>
      <c r="C931" s="59"/>
      <c r="H931" s="52"/>
      <c r="I931" s="44"/>
      <c r="J931" s="63"/>
    </row>
    <row r="932">
      <c r="B932" s="50"/>
      <c r="C932" s="59"/>
      <c r="H932" s="52"/>
      <c r="I932" s="44"/>
      <c r="J932" s="63"/>
    </row>
    <row r="933">
      <c r="B933" s="50"/>
      <c r="C933" s="59"/>
      <c r="H933" s="52"/>
      <c r="I933" s="44"/>
      <c r="J933" s="63"/>
    </row>
    <row r="934">
      <c r="B934" s="50"/>
      <c r="C934" s="59"/>
      <c r="H934" s="52"/>
      <c r="I934" s="44"/>
      <c r="J934" s="63"/>
    </row>
    <row r="935">
      <c r="B935" s="50"/>
      <c r="C935" s="59"/>
      <c r="H935" s="52"/>
      <c r="I935" s="44"/>
      <c r="J935" s="63"/>
    </row>
    <row r="936">
      <c r="B936" s="50"/>
      <c r="C936" s="59"/>
      <c r="H936" s="52"/>
      <c r="I936" s="44"/>
      <c r="J936" s="63"/>
    </row>
    <row r="937">
      <c r="B937" s="50"/>
      <c r="C937" s="59"/>
      <c r="H937" s="52"/>
      <c r="I937" s="44"/>
      <c r="J937" s="63"/>
    </row>
    <row r="938">
      <c r="B938" s="50"/>
      <c r="C938" s="59"/>
      <c r="H938" s="52"/>
      <c r="I938" s="44"/>
      <c r="J938" s="63"/>
    </row>
    <row r="939">
      <c r="B939" s="50"/>
      <c r="C939" s="59"/>
      <c r="H939" s="52"/>
      <c r="I939" s="44"/>
      <c r="J939" s="63"/>
    </row>
    <row r="940">
      <c r="B940" s="50"/>
      <c r="C940" s="59"/>
      <c r="H940" s="52"/>
      <c r="I940" s="44"/>
      <c r="J940" s="63"/>
    </row>
    <row r="941">
      <c r="B941" s="50"/>
      <c r="C941" s="59"/>
      <c r="H941" s="52"/>
      <c r="I941" s="44"/>
      <c r="J941" s="63"/>
    </row>
    <row r="942">
      <c r="B942" s="50"/>
      <c r="C942" s="59"/>
      <c r="H942" s="52"/>
      <c r="I942" s="44"/>
      <c r="J942" s="63"/>
    </row>
    <row r="943">
      <c r="B943" s="50"/>
      <c r="C943" s="59"/>
      <c r="H943" s="52"/>
      <c r="I943" s="44"/>
      <c r="J943" s="63"/>
    </row>
    <row r="944">
      <c r="B944" s="50"/>
      <c r="C944" s="59"/>
      <c r="H944" s="52"/>
      <c r="I944" s="44"/>
      <c r="J944" s="63"/>
    </row>
    <row r="945">
      <c r="B945" s="50"/>
      <c r="C945" s="59"/>
      <c r="H945" s="52"/>
      <c r="I945" s="44"/>
      <c r="J945" s="63"/>
    </row>
    <row r="946">
      <c r="B946" s="50"/>
      <c r="C946" s="59"/>
      <c r="H946" s="52"/>
      <c r="I946" s="44"/>
      <c r="J946" s="63"/>
    </row>
    <row r="947">
      <c r="B947" s="50"/>
      <c r="C947" s="59"/>
      <c r="H947" s="52"/>
      <c r="I947" s="44"/>
      <c r="J947" s="63"/>
    </row>
    <row r="948">
      <c r="B948" s="50"/>
      <c r="C948" s="59"/>
      <c r="H948" s="52"/>
      <c r="I948" s="44"/>
      <c r="J948" s="63"/>
    </row>
    <row r="949">
      <c r="B949" s="50"/>
      <c r="C949" s="59"/>
      <c r="H949" s="52"/>
      <c r="I949" s="44"/>
      <c r="J949" s="63"/>
    </row>
    <row r="950">
      <c r="B950" s="50"/>
      <c r="C950" s="59"/>
      <c r="H950" s="52"/>
      <c r="I950" s="44"/>
      <c r="J950" s="63"/>
    </row>
    <row r="951">
      <c r="B951" s="50"/>
      <c r="C951" s="59"/>
      <c r="H951" s="52"/>
      <c r="I951" s="44"/>
      <c r="J951" s="63"/>
    </row>
    <row r="952">
      <c r="B952" s="50"/>
      <c r="C952" s="59"/>
      <c r="H952" s="52"/>
      <c r="I952" s="44"/>
      <c r="J952" s="63"/>
    </row>
    <row r="953">
      <c r="B953" s="50"/>
      <c r="C953" s="59"/>
      <c r="H953" s="52"/>
      <c r="I953" s="44"/>
      <c r="J953" s="63"/>
    </row>
    <row r="954">
      <c r="B954" s="50"/>
      <c r="C954" s="59"/>
      <c r="H954" s="52"/>
      <c r="I954" s="44"/>
      <c r="J954" s="63"/>
    </row>
    <row r="955">
      <c r="B955" s="50"/>
      <c r="C955" s="59"/>
      <c r="H955" s="52"/>
      <c r="I955" s="44"/>
      <c r="J955" s="63"/>
    </row>
    <row r="956">
      <c r="B956" s="50"/>
      <c r="C956" s="59"/>
      <c r="H956" s="52"/>
      <c r="I956" s="44"/>
      <c r="J956" s="63"/>
    </row>
    <row r="957">
      <c r="B957" s="50"/>
      <c r="C957" s="59"/>
      <c r="H957" s="52"/>
      <c r="I957" s="44"/>
      <c r="J957" s="63"/>
    </row>
    <row r="958">
      <c r="B958" s="50"/>
      <c r="C958" s="59"/>
      <c r="H958" s="52"/>
      <c r="I958" s="44"/>
      <c r="J958" s="63"/>
    </row>
    <row r="959">
      <c r="B959" s="50"/>
      <c r="C959" s="59"/>
      <c r="H959" s="52"/>
      <c r="I959" s="44"/>
      <c r="J959" s="63"/>
    </row>
    <row r="960">
      <c r="B960" s="50"/>
      <c r="C960" s="59"/>
      <c r="H960" s="52"/>
      <c r="I960" s="44"/>
      <c r="J960" s="63"/>
    </row>
    <row r="961">
      <c r="B961" s="50"/>
      <c r="C961" s="59"/>
      <c r="H961" s="52"/>
      <c r="I961" s="44"/>
      <c r="J961" s="63"/>
    </row>
    <row r="962">
      <c r="B962" s="50"/>
      <c r="C962" s="59"/>
      <c r="H962" s="52"/>
      <c r="I962" s="44"/>
      <c r="J962" s="63"/>
    </row>
    <row r="963">
      <c r="B963" s="50"/>
      <c r="C963" s="59"/>
      <c r="H963" s="52"/>
      <c r="I963" s="44"/>
      <c r="J963" s="63"/>
    </row>
    <row r="964">
      <c r="B964" s="50"/>
      <c r="C964" s="59"/>
      <c r="H964" s="52"/>
      <c r="I964" s="44"/>
      <c r="J964" s="63"/>
    </row>
    <row r="965">
      <c r="B965" s="50"/>
      <c r="C965" s="59"/>
      <c r="H965" s="52"/>
      <c r="I965" s="44"/>
      <c r="J965" s="63"/>
    </row>
    <row r="966">
      <c r="B966" s="50"/>
      <c r="C966" s="59"/>
      <c r="H966" s="52"/>
      <c r="I966" s="44"/>
      <c r="J966" s="63"/>
    </row>
    <row r="967">
      <c r="B967" s="50"/>
      <c r="C967" s="59"/>
      <c r="H967" s="52"/>
      <c r="I967" s="44"/>
      <c r="J967" s="63"/>
    </row>
    <row r="968">
      <c r="B968" s="50"/>
      <c r="C968" s="59"/>
      <c r="H968" s="52"/>
      <c r="I968" s="44"/>
      <c r="J968" s="63"/>
    </row>
    <row r="969">
      <c r="B969" s="50"/>
      <c r="C969" s="59"/>
      <c r="H969" s="52"/>
      <c r="I969" s="44"/>
      <c r="J969" s="63"/>
    </row>
    <row r="970">
      <c r="B970" s="50"/>
      <c r="C970" s="59"/>
      <c r="H970" s="52"/>
      <c r="I970" s="44"/>
      <c r="J970" s="63"/>
    </row>
    <row r="971">
      <c r="B971" s="50"/>
      <c r="C971" s="59"/>
      <c r="H971" s="52"/>
      <c r="I971" s="44"/>
      <c r="J971" s="63"/>
    </row>
    <row r="972">
      <c r="B972" s="50"/>
      <c r="C972" s="59"/>
      <c r="H972" s="52"/>
      <c r="I972" s="44"/>
      <c r="J972" s="63"/>
    </row>
    <row r="973">
      <c r="B973" s="50"/>
      <c r="C973" s="59"/>
      <c r="H973" s="52"/>
      <c r="I973" s="44"/>
      <c r="J973" s="63"/>
    </row>
    <row r="974">
      <c r="B974" s="50"/>
      <c r="C974" s="59"/>
      <c r="H974" s="52"/>
      <c r="I974" s="44"/>
      <c r="J974" s="63"/>
    </row>
    <row r="975">
      <c r="B975" s="50"/>
      <c r="C975" s="59"/>
      <c r="H975" s="52"/>
      <c r="I975" s="44"/>
      <c r="J975" s="63"/>
    </row>
    <row r="976">
      <c r="B976" s="50"/>
      <c r="C976" s="59"/>
      <c r="H976" s="52"/>
      <c r="I976" s="44"/>
      <c r="J976" s="63"/>
    </row>
    <row r="977">
      <c r="B977" s="50"/>
      <c r="C977" s="59"/>
      <c r="H977" s="52"/>
      <c r="I977" s="44"/>
      <c r="J977" s="63"/>
    </row>
    <row r="978">
      <c r="B978" s="50"/>
      <c r="C978" s="59"/>
      <c r="H978" s="52"/>
      <c r="I978" s="44"/>
      <c r="J978" s="63"/>
    </row>
    <row r="979">
      <c r="B979" s="50"/>
      <c r="C979" s="59"/>
      <c r="H979" s="52"/>
      <c r="I979" s="44"/>
      <c r="J979" s="63"/>
    </row>
    <row r="980">
      <c r="B980" s="50"/>
      <c r="C980" s="59"/>
      <c r="H980" s="52"/>
      <c r="I980" s="44"/>
      <c r="J980" s="63"/>
    </row>
    <row r="981">
      <c r="B981" s="50"/>
      <c r="C981" s="59"/>
      <c r="H981" s="52"/>
      <c r="I981" s="44"/>
      <c r="J981" s="63"/>
    </row>
    <row r="982">
      <c r="B982" s="50"/>
      <c r="C982" s="59"/>
      <c r="H982" s="52"/>
      <c r="I982" s="44"/>
      <c r="J982" s="63"/>
    </row>
    <row r="983">
      <c r="B983" s="50"/>
      <c r="C983" s="59"/>
      <c r="H983" s="52"/>
      <c r="I983" s="44"/>
      <c r="J983" s="63"/>
    </row>
    <row r="984">
      <c r="B984" s="50"/>
      <c r="C984" s="59"/>
      <c r="H984" s="52"/>
      <c r="I984" s="44"/>
      <c r="J984" s="63"/>
    </row>
    <row r="985">
      <c r="B985" s="50"/>
      <c r="C985" s="59"/>
      <c r="H985" s="52"/>
      <c r="I985" s="44"/>
      <c r="J985" s="63"/>
    </row>
    <row r="986">
      <c r="B986" s="50"/>
      <c r="C986" s="59"/>
      <c r="H986" s="52"/>
      <c r="I986" s="44"/>
      <c r="J986" s="63"/>
    </row>
    <row r="987">
      <c r="B987" s="50"/>
      <c r="C987" s="59"/>
      <c r="H987" s="52"/>
      <c r="I987" s="44"/>
      <c r="J987" s="63"/>
    </row>
    <row r="988">
      <c r="B988" s="50"/>
      <c r="C988" s="59"/>
      <c r="H988" s="52"/>
      <c r="I988" s="44"/>
      <c r="J988" s="63"/>
    </row>
    <row r="989">
      <c r="B989" s="50"/>
      <c r="C989" s="59"/>
      <c r="H989" s="52"/>
      <c r="I989" s="44"/>
      <c r="J989" s="63"/>
    </row>
    <row r="990">
      <c r="B990" s="50"/>
      <c r="C990" s="59"/>
      <c r="H990" s="52"/>
      <c r="I990" s="44"/>
      <c r="J990" s="63"/>
    </row>
    <row r="991">
      <c r="B991" s="50"/>
      <c r="C991" s="59"/>
      <c r="H991" s="52"/>
      <c r="I991" s="44"/>
      <c r="J991" s="63"/>
    </row>
    <row r="992">
      <c r="B992" s="50"/>
      <c r="C992" s="59"/>
      <c r="H992" s="52"/>
      <c r="I992" s="44"/>
      <c r="J992" s="63"/>
    </row>
    <row r="993">
      <c r="B993" s="50"/>
      <c r="C993" s="59"/>
      <c r="H993" s="52"/>
      <c r="I993" s="44"/>
      <c r="J993" s="63"/>
    </row>
    <row r="994">
      <c r="B994" s="50"/>
      <c r="C994" s="59"/>
      <c r="H994" s="52"/>
      <c r="I994" s="44"/>
      <c r="J994" s="63"/>
    </row>
    <row r="995">
      <c r="B995" s="50"/>
      <c r="C995" s="59"/>
      <c r="H995" s="52"/>
      <c r="I995" s="44"/>
      <c r="J995" s="63"/>
    </row>
    <row r="996">
      <c r="B996" s="50"/>
      <c r="C996" s="59"/>
      <c r="H996" s="52"/>
      <c r="I996" s="44"/>
      <c r="J996" s="63"/>
    </row>
    <row r="997">
      <c r="B997" s="50"/>
      <c r="C997" s="59"/>
      <c r="H997" s="52"/>
      <c r="I997" s="44"/>
      <c r="J997" s="63"/>
    </row>
    <row r="998">
      <c r="B998" s="50"/>
      <c r="C998" s="59"/>
      <c r="H998" s="52"/>
      <c r="I998" s="44"/>
      <c r="J998" s="63"/>
    </row>
    <row r="999">
      <c r="B999" s="50"/>
      <c r="C999" s="59"/>
      <c r="H999" s="52"/>
      <c r="I999" s="44"/>
      <c r="J999" s="63"/>
    </row>
    <row r="1000">
      <c r="B1000" s="50"/>
      <c r="C1000" s="59"/>
      <c r="H1000" s="52"/>
      <c r="I1000" s="44"/>
      <c r="J1000" s="63"/>
    </row>
  </sheetData>
  <mergeCells count="1">
    <mergeCell ref="I77:I83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</cols>
  <sheetData>
    <row r="1">
      <c r="C1" s="51" t="s">
        <v>43</v>
      </c>
      <c r="E1" s="42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4" t="s">
        <v>43</v>
      </c>
      <c r="J1" s="4" t="s">
        <v>152</v>
      </c>
      <c r="K1" s="49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</row>
    <row r="2">
      <c r="C2" s="59">
        <f t="shared" ref="C2:C47" si="1">B2-$B$48</f>
        <v>0.1172559828</v>
      </c>
      <c r="E2" s="36">
        <v>41632.0</v>
      </c>
      <c r="F2" t="str">
        <f t="shared" ref="F2:F214" si="2">TEXT(E2, "YYYY-MM")</f>
        <v>2013-12</v>
      </c>
      <c r="G2" s="55" t="str">
        <f>IFERROR(__xludf.DUMMYFUNCTION("""COMPUTED_VALUE"""),"2013-12")</f>
        <v>2013-12</v>
      </c>
      <c r="H2" s="52">
        <f>IFERROR(__xludf.DUMMYFUNCTION("""COMPUTED_VALUE"""),4.0)</f>
        <v>4</v>
      </c>
      <c r="J2" s="45">
        <v>0.0</v>
      </c>
      <c r="K2" t="str">
        <f>IFERROR(__xludf.DUMMYFUNCTION("""COMPUTED_VALUE"""),"2013-12")</f>
        <v>2013-12</v>
      </c>
      <c r="L2">
        <f>IFERROR(__xludf.DUMMYFUNCTION("""COMPUTED_VALUE"""),0.0)</f>
        <v>0</v>
      </c>
    </row>
    <row r="3">
      <c r="C3" s="59">
        <f t="shared" si="1"/>
        <v>-0.03555337148</v>
      </c>
      <c r="E3" s="36">
        <v>41632.0</v>
      </c>
      <c r="F3" t="str">
        <f t="shared" si="2"/>
        <v>2013-12</v>
      </c>
      <c r="G3" t="str">
        <f>IFERROR(__xludf.DUMMYFUNCTION("""COMPUTED_VALUE"""),"2014-01")</f>
        <v>2014-01</v>
      </c>
      <c r="H3" s="52">
        <f>IFERROR(__xludf.DUMMYFUNCTION("""COMPUTED_VALUE"""),5.0)</f>
        <v>5</v>
      </c>
      <c r="I3">
        <f t="shared" ref="I3:I44" si="3">LOOKUP(G3, $A$1:A$47,$C$1:$C$47)</f>
        <v>0.1172559828</v>
      </c>
      <c r="J3" s="45">
        <v>0.0</v>
      </c>
      <c r="K3" t="str">
        <f>IFERROR(__xludf.DUMMYFUNCTION("""COMPUTED_VALUE"""),"2014-01")</f>
        <v>2014-01</v>
      </c>
      <c r="L3">
        <f>IFERROR(__xludf.DUMMYFUNCTION("""COMPUTED_VALUE"""),0.0)</f>
        <v>0</v>
      </c>
    </row>
    <row r="4">
      <c r="C4" s="59">
        <f t="shared" si="1"/>
        <v>-0.1268334595</v>
      </c>
      <c r="E4" s="36">
        <v>41636.0</v>
      </c>
      <c r="F4" t="str">
        <f t="shared" si="2"/>
        <v>2013-12</v>
      </c>
      <c r="G4" t="str">
        <f>IFERROR(__xludf.DUMMYFUNCTION("""COMPUTED_VALUE"""),"2014-02")</f>
        <v>2014-02</v>
      </c>
      <c r="H4" s="52">
        <f>IFERROR(__xludf.DUMMYFUNCTION("""COMPUTED_VALUE"""),11.0)</f>
        <v>11</v>
      </c>
      <c r="I4">
        <f t="shared" si="3"/>
        <v>-0.03555337148</v>
      </c>
      <c r="J4" s="45">
        <v>0.0</v>
      </c>
      <c r="K4" t="str">
        <f>IFERROR(__xludf.DUMMYFUNCTION("""COMPUTED_VALUE"""),"2014-02")</f>
        <v>2014-02</v>
      </c>
      <c r="L4">
        <f>IFERROR(__xludf.DUMMYFUNCTION("""COMPUTED_VALUE"""),0.0)</f>
        <v>0</v>
      </c>
    </row>
    <row r="5">
      <c r="C5" s="59">
        <f t="shared" si="1"/>
        <v>-0.03373730986</v>
      </c>
      <c r="E5" s="36">
        <v>41645.0</v>
      </c>
      <c r="F5" t="str">
        <f t="shared" si="2"/>
        <v>2014-01</v>
      </c>
      <c r="G5" t="str">
        <f>IFERROR(__xludf.DUMMYFUNCTION("""COMPUTED_VALUE"""),"2014-03")</f>
        <v>2014-03</v>
      </c>
      <c r="H5" s="52">
        <f>IFERROR(__xludf.DUMMYFUNCTION("""COMPUTED_VALUE"""),6.0)</f>
        <v>6</v>
      </c>
      <c r="I5">
        <f t="shared" si="3"/>
        <v>-0.1268334595</v>
      </c>
      <c r="J5" s="45">
        <v>0.0</v>
      </c>
      <c r="K5" t="str">
        <f>IFERROR(__xludf.DUMMYFUNCTION("""COMPUTED_VALUE"""),"2014-03")</f>
        <v>2014-03</v>
      </c>
      <c r="L5">
        <f>IFERROR(__xludf.DUMMYFUNCTION("""COMPUTED_VALUE"""),0.0)</f>
        <v>0</v>
      </c>
    </row>
    <row r="6">
      <c r="C6" s="59">
        <f t="shared" si="1"/>
        <v>-0.08234136307</v>
      </c>
      <c r="E6" s="36">
        <v>41649.0</v>
      </c>
      <c r="F6" t="str">
        <f t="shared" si="2"/>
        <v>2014-01</v>
      </c>
      <c r="G6" t="str">
        <f>IFERROR(__xludf.DUMMYFUNCTION("""COMPUTED_VALUE"""),"2014-04")</f>
        <v>2014-04</v>
      </c>
      <c r="H6" s="52">
        <f>IFERROR(__xludf.DUMMYFUNCTION("""COMPUTED_VALUE"""),1.0)</f>
        <v>1</v>
      </c>
      <c r="I6">
        <f t="shared" si="3"/>
        <v>-0.03373730986</v>
      </c>
      <c r="J6" s="45">
        <v>0.0</v>
      </c>
      <c r="K6" t="str">
        <f>IFERROR(__xludf.DUMMYFUNCTION("""COMPUTED_VALUE"""),"2014-04")</f>
        <v>2014-04</v>
      </c>
      <c r="L6">
        <f>IFERROR(__xludf.DUMMYFUNCTION("""COMPUTED_VALUE"""),0.0)</f>
        <v>0</v>
      </c>
    </row>
    <row r="7">
      <c r="C7" s="59">
        <f t="shared" si="1"/>
        <v>-0.0506633419</v>
      </c>
      <c r="E7" s="36">
        <v>41652.0</v>
      </c>
      <c r="F7" t="str">
        <f t="shared" si="2"/>
        <v>2014-01</v>
      </c>
      <c r="G7" t="str">
        <f>IFERROR(__xludf.DUMMYFUNCTION("""COMPUTED_VALUE"""),"2014-06")</f>
        <v>2014-06</v>
      </c>
      <c r="H7" s="52">
        <f>IFERROR(__xludf.DUMMYFUNCTION("""COMPUTED_VALUE"""),1.0)</f>
        <v>1</v>
      </c>
      <c r="I7">
        <f t="shared" si="3"/>
        <v>-0.0506633419</v>
      </c>
      <c r="J7" s="45">
        <v>0.0</v>
      </c>
      <c r="K7" t="str">
        <f>IFERROR(__xludf.DUMMYFUNCTION("""COMPUTED_VALUE"""),"2014-06")</f>
        <v>2014-06</v>
      </c>
      <c r="L7">
        <f>IFERROR(__xludf.DUMMYFUNCTION("""COMPUTED_VALUE"""),309.0)</f>
        <v>309</v>
      </c>
    </row>
    <row r="8">
      <c r="C8" s="59">
        <f t="shared" si="1"/>
        <v>0.006292270645</v>
      </c>
      <c r="E8" s="36">
        <v>41658.0</v>
      </c>
      <c r="F8" t="str">
        <f t="shared" si="2"/>
        <v>2014-01</v>
      </c>
      <c r="G8" t="str">
        <f>IFERROR(__xludf.DUMMYFUNCTION("""COMPUTED_VALUE"""),"2014-07")</f>
        <v>2014-07</v>
      </c>
      <c r="H8" s="52">
        <f>IFERROR(__xludf.DUMMYFUNCTION("""COMPUTED_VALUE"""),1.0)</f>
        <v>1</v>
      </c>
      <c r="I8">
        <f t="shared" si="3"/>
        <v>0.006292270645</v>
      </c>
      <c r="J8" s="45">
        <v>0.0</v>
      </c>
      <c r="K8" t="str">
        <f>IFERROR(__xludf.DUMMYFUNCTION("""COMPUTED_VALUE"""),"2014-07")</f>
        <v>2014-07</v>
      </c>
      <c r="L8">
        <f>IFERROR(__xludf.DUMMYFUNCTION("""COMPUTED_VALUE"""),0.0)</f>
        <v>0</v>
      </c>
    </row>
    <row r="9">
      <c r="C9" s="59">
        <f t="shared" si="1"/>
        <v>-0.0351284255</v>
      </c>
      <c r="E9" s="36">
        <v>41666.0</v>
      </c>
      <c r="F9" t="str">
        <f t="shared" si="2"/>
        <v>2014-01</v>
      </c>
      <c r="G9" t="str">
        <f>IFERROR(__xludf.DUMMYFUNCTION("""COMPUTED_VALUE"""),"2014-09")</f>
        <v>2014-09</v>
      </c>
      <c r="H9" s="52">
        <f>IFERROR(__xludf.DUMMYFUNCTION("""COMPUTED_VALUE"""),1.0)</f>
        <v>1</v>
      </c>
      <c r="I9">
        <f t="shared" si="3"/>
        <v>-0.01819765592</v>
      </c>
      <c r="J9" s="45">
        <v>0.0</v>
      </c>
      <c r="K9" t="str">
        <f>IFERROR(__xludf.DUMMYFUNCTION("""COMPUTED_VALUE"""),"2014-09")</f>
        <v>2014-09</v>
      </c>
      <c r="L9">
        <f>IFERROR(__xludf.DUMMYFUNCTION("""COMPUTED_VALUE"""),0.0)</f>
        <v>0</v>
      </c>
    </row>
    <row r="10">
      <c r="C10" s="59">
        <f t="shared" si="1"/>
        <v>-0.01819765592</v>
      </c>
      <c r="E10" s="36">
        <v>41672.0</v>
      </c>
      <c r="F10" t="str">
        <f t="shared" si="2"/>
        <v>2014-02</v>
      </c>
      <c r="G10" t="str">
        <f>IFERROR(__xludf.DUMMYFUNCTION("""COMPUTED_VALUE"""),"2014-10")</f>
        <v>2014-10</v>
      </c>
      <c r="H10" s="52">
        <f>IFERROR(__xludf.DUMMYFUNCTION("""COMPUTED_VALUE"""),2.0)</f>
        <v>2</v>
      </c>
      <c r="I10">
        <f t="shared" si="3"/>
        <v>0.0428143005</v>
      </c>
      <c r="J10" s="45">
        <v>0.0</v>
      </c>
      <c r="K10" t="str">
        <f>IFERROR(__xludf.DUMMYFUNCTION("""COMPUTED_VALUE"""),"2014-10")</f>
        <v>2014-10</v>
      </c>
      <c r="L10">
        <f>IFERROR(__xludf.DUMMYFUNCTION("""COMPUTED_VALUE"""),0.0)</f>
        <v>0</v>
      </c>
    </row>
    <row r="11">
      <c r="C11" s="59">
        <f t="shared" si="1"/>
        <v>0.0428143005</v>
      </c>
      <c r="E11" s="36">
        <v>41673.0</v>
      </c>
      <c r="F11" t="str">
        <f t="shared" si="2"/>
        <v>2014-02</v>
      </c>
      <c r="G11" t="str">
        <f>IFERROR(__xludf.DUMMYFUNCTION("""COMPUTED_VALUE"""),"2014-11")</f>
        <v>2014-11</v>
      </c>
      <c r="H11" s="52">
        <f>IFERROR(__xludf.DUMMYFUNCTION("""COMPUTED_VALUE"""),1.0)</f>
        <v>1</v>
      </c>
      <c r="I11">
        <f t="shared" si="3"/>
        <v>0.05372391472</v>
      </c>
      <c r="J11" s="45">
        <v>0.0</v>
      </c>
      <c r="K11" t="str">
        <f>IFERROR(__xludf.DUMMYFUNCTION("""COMPUTED_VALUE"""),"2014-11")</f>
        <v>2014-11</v>
      </c>
      <c r="L11">
        <f>IFERROR(__xludf.DUMMYFUNCTION("""COMPUTED_VALUE"""),0.0)</f>
        <v>0</v>
      </c>
    </row>
    <row r="12">
      <c r="C12" s="59">
        <f t="shared" si="1"/>
        <v>0.05372391472</v>
      </c>
      <c r="E12" s="36">
        <v>41677.0</v>
      </c>
      <c r="F12" t="str">
        <f t="shared" si="2"/>
        <v>2014-02</v>
      </c>
      <c r="G12" t="str">
        <f>IFERROR(__xludf.DUMMYFUNCTION("""COMPUTED_VALUE"""),"2014-12")</f>
        <v>2014-12</v>
      </c>
      <c r="H12" s="52">
        <f>IFERROR(__xludf.DUMMYFUNCTION("""COMPUTED_VALUE"""),4.0)</f>
        <v>4</v>
      </c>
      <c r="I12">
        <f t="shared" si="3"/>
        <v>0.02641730392</v>
      </c>
      <c r="J12" s="45">
        <v>0.0</v>
      </c>
      <c r="K12" t="str">
        <f>IFERROR(__xludf.DUMMYFUNCTION("""COMPUTED_VALUE"""),"2014-12")</f>
        <v>2014-12</v>
      </c>
      <c r="L12">
        <f>IFERROR(__xludf.DUMMYFUNCTION("""COMPUTED_VALUE"""),0.0)</f>
        <v>0</v>
      </c>
    </row>
    <row r="13">
      <c r="C13" s="59">
        <f t="shared" si="1"/>
        <v>0.02641730392</v>
      </c>
      <c r="E13" s="36">
        <v>41679.0</v>
      </c>
      <c r="F13" t="str">
        <f t="shared" si="2"/>
        <v>2014-02</v>
      </c>
      <c r="G13" t="str">
        <f>IFERROR(__xludf.DUMMYFUNCTION("""COMPUTED_VALUE"""),"2015-02")</f>
        <v>2015-02</v>
      </c>
      <c r="H13" s="52">
        <f>IFERROR(__xludf.DUMMYFUNCTION("""COMPUTED_VALUE"""),1.0)</f>
        <v>1</v>
      </c>
      <c r="I13">
        <f t="shared" si="3"/>
        <v>0.03724630427</v>
      </c>
      <c r="J13" s="45">
        <v>0.0</v>
      </c>
      <c r="K13" t="str">
        <f>IFERROR(__xludf.DUMMYFUNCTION("""COMPUTED_VALUE"""),"2015-02")</f>
        <v>2015-02</v>
      </c>
      <c r="L13">
        <f>IFERROR(__xludf.DUMMYFUNCTION("""COMPUTED_VALUE"""),0.0)</f>
        <v>0</v>
      </c>
    </row>
    <row r="14">
      <c r="C14" s="59">
        <f t="shared" si="1"/>
        <v>-0.07054011384</v>
      </c>
      <c r="E14" s="36">
        <v>41681.0</v>
      </c>
      <c r="F14" t="str">
        <f t="shared" si="2"/>
        <v>2014-02</v>
      </c>
      <c r="G14" t="str">
        <f>IFERROR(__xludf.DUMMYFUNCTION("""COMPUTED_VALUE"""),"2015-04")</f>
        <v>2015-04</v>
      </c>
      <c r="H14" s="52">
        <f>IFERROR(__xludf.DUMMYFUNCTION("""COMPUTED_VALUE"""),3.0)</f>
        <v>3</v>
      </c>
      <c r="I14">
        <f t="shared" si="3"/>
        <v>-0.04476878026</v>
      </c>
      <c r="J14" s="45">
        <v>0.0</v>
      </c>
      <c r="K14" t="str">
        <f>IFERROR(__xludf.DUMMYFUNCTION("""COMPUTED_VALUE"""),"2015-04")</f>
        <v>2015-04</v>
      </c>
      <c r="L14">
        <f>IFERROR(__xludf.DUMMYFUNCTION("""COMPUTED_VALUE"""),0.0)</f>
        <v>0</v>
      </c>
    </row>
    <row r="15">
      <c r="C15" s="59">
        <f t="shared" si="1"/>
        <v>0.03724630427</v>
      </c>
      <c r="E15" s="36">
        <v>41684.0</v>
      </c>
      <c r="F15" t="str">
        <f t="shared" si="2"/>
        <v>2014-02</v>
      </c>
      <c r="G15" t="str">
        <f>IFERROR(__xludf.DUMMYFUNCTION("""COMPUTED_VALUE"""),"2015-05")</f>
        <v>2015-05</v>
      </c>
      <c r="H15" s="52">
        <f>IFERROR(__xludf.DUMMYFUNCTION("""COMPUTED_VALUE"""),6.0)</f>
        <v>6</v>
      </c>
      <c r="I15">
        <f t="shared" si="3"/>
        <v>0.05278399782</v>
      </c>
      <c r="J15" s="45">
        <v>0.0</v>
      </c>
      <c r="K15" t="str">
        <f>IFERROR(__xludf.DUMMYFUNCTION("""COMPUTED_VALUE"""),"2015-05")</f>
        <v>2015-05</v>
      </c>
      <c r="L15">
        <f>IFERROR(__xludf.DUMMYFUNCTION("""COMPUTED_VALUE"""),0.0)</f>
        <v>0</v>
      </c>
    </row>
    <row r="16">
      <c r="C16" s="59">
        <f t="shared" si="1"/>
        <v>-0.009385741288</v>
      </c>
      <c r="E16" s="36">
        <v>41690.0</v>
      </c>
      <c r="F16" t="str">
        <f t="shared" si="2"/>
        <v>2014-02</v>
      </c>
      <c r="G16" t="str">
        <f>IFERROR(__xludf.DUMMYFUNCTION("""COMPUTED_VALUE"""),"2015-06")</f>
        <v>2015-06</v>
      </c>
      <c r="H16" s="52">
        <f>IFERROR(__xludf.DUMMYFUNCTION("""COMPUTED_VALUE"""),11.0)</f>
        <v>11</v>
      </c>
      <c r="I16">
        <f t="shared" si="3"/>
        <v>-0.04645256367</v>
      </c>
      <c r="J16" s="45">
        <v>0.0</v>
      </c>
      <c r="K16" t="str">
        <f>IFERROR(__xludf.DUMMYFUNCTION("""COMPUTED_VALUE"""),"2015-06")</f>
        <v>2015-06</v>
      </c>
      <c r="L16">
        <f>IFERROR(__xludf.DUMMYFUNCTION("""COMPUTED_VALUE"""),0.0)</f>
        <v>0</v>
      </c>
    </row>
    <row r="17">
      <c r="C17" s="59">
        <f t="shared" si="1"/>
        <v>-0.04476878026</v>
      </c>
      <c r="E17" s="36">
        <v>41690.0</v>
      </c>
      <c r="F17" t="str">
        <f t="shared" si="2"/>
        <v>2014-02</v>
      </c>
      <c r="G17" t="str">
        <f>IFERROR(__xludf.DUMMYFUNCTION("""COMPUTED_VALUE"""),"2015-07")</f>
        <v>2015-07</v>
      </c>
      <c r="H17" s="52">
        <f>IFERROR(__xludf.DUMMYFUNCTION("""COMPUTED_VALUE"""),9.0)</f>
        <v>9</v>
      </c>
      <c r="I17">
        <f t="shared" si="3"/>
        <v>0.02484665356</v>
      </c>
      <c r="J17" s="45">
        <v>0.0</v>
      </c>
      <c r="K17" t="str">
        <f>IFERROR(__xludf.DUMMYFUNCTION("""COMPUTED_VALUE"""),"2015-07")</f>
        <v>2015-07</v>
      </c>
      <c r="L17">
        <f>IFERROR(__xludf.DUMMYFUNCTION("""COMPUTED_VALUE"""),0.0)</f>
        <v>0</v>
      </c>
    </row>
    <row r="18">
      <c r="C18" s="59">
        <f t="shared" si="1"/>
        <v>0.05278399782</v>
      </c>
      <c r="E18" s="36">
        <v>41695.0</v>
      </c>
      <c r="F18" t="str">
        <f t="shared" si="2"/>
        <v>2014-02</v>
      </c>
      <c r="G18" t="str">
        <f>IFERROR(__xludf.DUMMYFUNCTION("""COMPUTED_VALUE"""),"2015-08")</f>
        <v>2015-08</v>
      </c>
      <c r="H18" s="52">
        <f>IFERROR(__xludf.DUMMYFUNCTION("""COMPUTED_VALUE"""),7.0)</f>
        <v>7</v>
      </c>
      <c r="I18">
        <f t="shared" si="3"/>
        <v>-0.04773947791</v>
      </c>
      <c r="J18" s="45">
        <v>0.0</v>
      </c>
      <c r="K18" t="str">
        <f>IFERROR(__xludf.DUMMYFUNCTION("""COMPUTED_VALUE"""),"2015-08")</f>
        <v>2015-08</v>
      </c>
      <c r="L18">
        <f>IFERROR(__xludf.DUMMYFUNCTION("""COMPUTED_VALUE"""),0.0)</f>
        <v>0</v>
      </c>
    </row>
    <row r="19">
      <c r="C19" s="59">
        <f t="shared" si="1"/>
        <v>-0.04645256367</v>
      </c>
      <c r="E19" s="36">
        <v>41695.0</v>
      </c>
      <c r="F19" t="str">
        <f t="shared" si="2"/>
        <v>2014-02</v>
      </c>
      <c r="G19" t="str">
        <f>IFERROR(__xludf.DUMMYFUNCTION("""COMPUTED_VALUE"""),"2015-09")</f>
        <v>2015-09</v>
      </c>
      <c r="H19" s="52">
        <f>IFERROR(__xludf.DUMMYFUNCTION("""COMPUTED_VALUE"""),14.0)</f>
        <v>14</v>
      </c>
      <c r="I19">
        <f t="shared" si="3"/>
        <v>0.01645917059</v>
      </c>
      <c r="J19" s="45">
        <v>0.0</v>
      </c>
      <c r="K19" t="str">
        <f>IFERROR(__xludf.DUMMYFUNCTION("""COMPUTED_VALUE"""),"2015-09")</f>
        <v>2015-09</v>
      </c>
      <c r="L19">
        <f>IFERROR(__xludf.DUMMYFUNCTION("""COMPUTED_VALUE"""),0.0)</f>
        <v>0</v>
      </c>
    </row>
    <row r="20">
      <c r="C20" s="59">
        <f t="shared" si="1"/>
        <v>0.02484665356</v>
      </c>
      <c r="E20" s="36">
        <v>41695.0</v>
      </c>
      <c r="F20" t="str">
        <f t="shared" si="2"/>
        <v>2014-02</v>
      </c>
      <c r="G20" t="str">
        <f>IFERROR(__xludf.DUMMYFUNCTION("""COMPUTED_VALUE"""),"2015-10")</f>
        <v>2015-10</v>
      </c>
      <c r="H20" s="52">
        <f>IFERROR(__xludf.DUMMYFUNCTION("""COMPUTED_VALUE"""),14.0)</f>
        <v>14</v>
      </c>
      <c r="I20">
        <f t="shared" si="3"/>
        <v>-0.05000134714</v>
      </c>
      <c r="J20" s="45">
        <v>0.0</v>
      </c>
      <c r="K20" t="str">
        <f>IFERROR(__xludf.DUMMYFUNCTION("""COMPUTED_VALUE"""),"2015-10")</f>
        <v>2015-10</v>
      </c>
      <c r="L20">
        <f>IFERROR(__xludf.DUMMYFUNCTION("""COMPUTED_VALUE"""),0.0)</f>
        <v>0</v>
      </c>
    </row>
    <row r="21">
      <c r="C21" s="59">
        <f t="shared" si="1"/>
        <v>-0.04773947791</v>
      </c>
      <c r="E21" s="36">
        <v>41700.0</v>
      </c>
      <c r="F21" t="str">
        <f t="shared" si="2"/>
        <v>2014-03</v>
      </c>
      <c r="G21" t="str">
        <f>IFERROR(__xludf.DUMMYFUNCTION("""COMPUTED_VALUE"""),"2015-11")</f>
        <v>2015-11</v>
      </c>
      <c r="H21" s="52">
        <f>IFERROR(__xludf.DUMMYFUNCTION("""COMPUTED_VALUE"""),7.0)</f>
        <v>7</v>
      </c>
      <c r="I21">
        <f t="shared" si="3"/>
        <v>-0.008792550042</v>
      </c>
      <c r="J21" s="45">
        <v>0.0</v>
      </c>
      <c r="K21" t="str">
        <f>IFERROR(__xludf.DUMMYFUNCTION("""COMPUTED_VALUE"""),"2015-11")</f>
        <v>2015-11</v>
      </c>
      <c r="L21">
        <f>IFERROR(__xludf.DUMMYFUNCTION("""COMPUTED_VALUE"""),0.0)</f>
        <v>0</v>
      </c>
    </row>
    <row r="22">
      <c r="C22" s="59">
        <f t="shared" si="1"/>
        <v>0.01645917059</v>
      </c>
      <c r="E22" s="36">
        <v>41721.0</v>
      </c>
      <c r="F22" t="str">
        <f t="shared" si="2"/>
        <v>2014-03</v>
      </c>
      <c r="G22" t="str">
        <f>IFERROR(__xludf.DUMMYFUNCTION("""COMPUTED_VALUE"""),"2015-12")</f>
        <v>2015-12</v>
      </c>
      <c r="H22" s="52">
        <f>IFERROR(__xludf.DUMMYFUNCTION("""COMPUTED_VALUE"""),6.0)</f>
        <v>6</v>
      </c>
      <c r="I22">
        <f t="shared" si="3"/>
        <v>-0.02335340305</v>
      </c>
      <c r="J22" s="45">
        <v>0.0</v>
      </c>
      <c r="K22" t="str">
        <f>IFERROR(__xludf.DUMMYFUNCTION("""COMPUTED_VALUE"""),"2015-12")</f>
        <v>2015-12</v>
      </c>
      <c r="L22">
        <f>IFERROR(__xludf.DUMMYFUNCTION("""COMPUTED_VALUE"""),0.0)</f>
        <v>0</v>
      </c>
    </row>
    <row r="23">
      <c r="C23" s="59">
        <f t="shared" si="1"/>
        <v>-0.05000134714</v>
      </c>
      <c r="E23" s="36">
        <v>41722.0</v>
      </c>
      <c r="F23" t="str">
        <f t="shared" si="2"/>
        <v>2014-03</v>
      </c>
      <c r="G23" t="str">
        <f>IFERROR(__xludf.DUMMYFUNCTION("""COMPUTED_VALUE"""),"2016-01")</f>
        <v>2016-01</v>
      </c>
      <c r="H23" s="52">
        <f>IFERROR(__xludf.DUMMYFUNCTION("""COMPUTED_VALUE"""),6.0)</f>
        <v>6</v>
      </c>
      <c r="I23">
        <f t="shared" si="3"/>
        <v>-0.002125524179</v>
      </c>
      <c r="J23" s="45">
        <v>0.0</v>
      </c>
      <c r="K23" t="str">
        <f>IFERROR(__xludf.DUMMYFUNCTION("""COMPUTED_VALUE"""),"2016-01")</f>
        <v>2016-01</v>
      </c>
      <c r="L23">
        <f>IFERROR(__xludf.DUMMYFUNCTION("""COMPUTED_VALUE"""),0.0)</f>
        <v>0</v>
      </c>
    </row>
    <row r="24">
      <c r="C24" s="59">
        <f t="shared" si="1"/>
        <v>-0.008792550042</v>
      </c>
      <c r="E24" s="36">
        <v>41723.0</v>
      </c>
      <c r="F24" t="str">
        <f t="shared" si="2"/>
        <v>2014-03</v>
      </c>
      <c r="G24" t="str">
        <f>IFERROR(__xludf.DUMMYFUNCTION("""COMPUTED_VALUE"""),"2016-02")</f>
        <v>2016-02</v>
      </c>
      <c r="H24" s="52">
        <f>IFERROR(__xludf.DUMMYFUNCTION("""COMPUTED_VALUE"""),2.0)</f>
        <v>2</v>
      </c>
      <c r="I24">
        <f t="shared" si="3"/>
        <v>0.02902115283</v>
      </c>
      <c r="J24" s="45">
        <v>0.0</v>
      </c>
      <c r="K24" t="str">
        <f>IFERROR(__xludf.DUMMYFUNCTION("""COMPUTED_VALUE"""),"2016-02")</f>
        <v>2016-02</v>
      </c>
      <c r="L24">
        <f>IFERROR(__xludf.DUMMYFUNCTION("""COMPUTED_VALUE"""),0.0)</f>
        <v>0</v>
      </c>
    </row>
    <row r="25">
      <c r="C25" s="59">
        <f t="shared" si="1"/>
        <v>-0.02335340305</v>
      </c>
      <c r="E25" s="36">
        <v>41724.0</v>
      </c>
      <c r="F25" t="str">
        <f t="shared" si="2"/>
        <v>2014-03</v>
      </c>
      <c r="G25" t="str">
        <f>IFERROR(__xludf.DUMMYFUNCTION("""COMPUTED_VALUE"""),"2016-03")</f>
        <v>2016-03</v>
      </c>
      <c r="H25" s="52">
        <f>IFERROR(__xludf.DUMMYFUNCTION("""COMPUTED_VALUE"""),6.0)</f>
        <v>6</v>
      </c>
      <c r="I25">
        <f t="shared" si="3"/>
        <v>0.00660235092</v>
      </c>
      <c r="J25" s="45">
        <v>0.0</v>
      </c>
      <c r="K25" t="str">
        <f>IFERROR(__xludf.DUMMYFUNCTION("""COMPUTED_VALUE"""),"2016-03")</f>
        <v>2016-03</v>
      </c>
      <c r="L25">
        <f>IFERROR(__xludf.DUMMYFUNCTION("""COMPUTED_VALUE"""),0.0)</f>
        <v>0</v>
      </c>
    </row>
    <row r="26">
      <c r="C26" s="59">
        <f t="shared" si="1"/>
        <v>-0.002125524179</v>
      </c>
      <c r="E26" s="36">
        <v>41754.0</v>
      </c>
      <c r="F26" t="str">
        <f t="shared" si="2"/>
        <v>2014-04</v>
      </c>
      <c r="G26" t="str">
        <f>IFERROR(__xludf.DUMMYFUNCTION("""COMPUTED_VALUE"""),"2016-04")</f>
        <v>2016-04</v>
      </c>
      <c r="H26" s="52">
        <f>IFERROR(__xludf.DUMMYFUNCTION("""COMPUTED_VALUE"""),2.0)</f>
        <v>2</v>
      </c>
      <c r="I26">
        <f t="shared" si="3"/>
        <v>0.04931546856</v>
      </c>
      <c r="J26" s="45">
        <v>0.0</v>
      </c>
      <c r="K26" t="str">
        <f>IFERROR(__xludf.DUMMYFUNCTION("""COMPUTED_VALUE"""),"2016-04")</f>
        <v>2016-04</v>
      </c>
      <c r="L26">
        <f>IFERROR(__xludf.DUMMYFUNCTION("""COMPUTED_VALUE"""),0.0)</f>
        <v>0</v>
      </c>
    </row>
    <row r="27">
      <c r="C27" s="59">
        <f t="shared" si="1"/>
        <v>0.02902115283</v>
      </c>
      <c r="E27" s="36">
        <v>41796.0</v>
      </c>
      <c r="F27" t="str">
        <f t="shared" si="2"/>
        <v>2014-06</v>
      </c>
      <c r="G27" t="str">
        <f>IFERROR(__xludf.DUMMYFUNCTION("""COMPUTED_VALUE"""),"2016-05")</f>
        <v>2016-05</v>
      </c>
      <c r="H27" s="52">
        <f>IFERROR(__xludf.DUMMYFUNCTION("""COMPUTED_VALUE"""),6.0)</f>
        <v>6</v>
      </c>
      <c r="I27">
        <f t="shared" si="3"/>
        <v>0.01660418708</v>
      </c>
      <c r="J27" s="45">
        <v>309.0</v>
      </c>
      <c r="K27" t="str">
        <f>IFERROR(__xludf.DUMMYFUNCTION("""COMPUTED_VALUE"""),"2016-05")</f>
        <v>2016-05</v>
      </c>
      <c r="L27">
        <f>IFERROR(__xludf.DUMMYFUNCTION("""COMPUTED_VALUE"""),0.0)</f>
        <v>0</v>
      </c>
    </row>
    <row r="28">
      <c r="C28" s="59">
        <f t="shared" si="1"/>
        <v>0.00660235092</v>
      </c>
      <c r="E28" s="36">
        <v>41849.0</v>
      </c>
      <c r="F28" t="str">
        <f t="shared" si="2"/>
        <v>2014-07</v>
      </c>
      <c r="G28" t="str">
        <f>IFERROR(__xludf.DUMMYFUNCTION("""COMPUTED_VALUE"""),"2016-06")</f>
        <v>2016-06</v>
      </c>
      <c r="H28" s="52">
        <f>IFERROR(__xludf.DUMMYFUNCTION("""COMPUTED_VALUE"""),12.0)</f>
        <v>12</v>
      </c>
      <c r="I28">
        <f t="shared" si="3"/>
        <v>0.04014299728</v>
      </c>
      <c r="J28" s="45">
        <v>0.0</v>
      </c>
      <c r="K28" t="str">
        <f>IFERROR(__xludf.DUMMYFUNCTION("""COMPUTED_VALUE"""),"2016-06")</f>
        <v>2016-06</v>
      </c>
      <c r="L28">
        <f>IFERROR(__xludf.DUMMYFUNCTION("""COMPUTED_VALUE"""),768.0)</f>
        <v>768</v>
      </c>
    </row>
    <row r="29">
      <c r="C29" s="59">
        <f t="shared" si="1"/>
        <v>0.04931546856</v>
      </c>
      <c r="E29" s="36">
        <v>42331.0</v>
      </c>
      <c r="F29" t="str">
        <f t="shared" si="2"/>
        <v>2015-11</v>
      </c>
      <c r="G29" t="str">
        <f>IFERROR(__xludf.DUMMYFUNCTION("""COMPUTED_VALUE"""),"2016-07")</f>
        <v>2016-07</v>
      </c>
      <c r="H29" s="52">
        <f>IFERROR(__xludf.DUMMYFUNCTION("""COMPUTED_VALUE"""),5.0)</f>
        <v>5</v>
      </c>
      <c r="I29">
        <f t="shared" si="3"/>
        <v>0.007633961892</v>
      </c>
      <c r="J29" s="45">
        <v>0.0</v>
      </c>
      <c r="K29" t="str">
        <f>IFERROR(__xludf.DUMMYFUNCTION("""COMPUTED_VALUE"""),"2016-07")</f>
        <v>2016-07</v>
      </c>
      <c r="L29">
        <f>IFERROR(__xludf.DUMMYFUNCTION("""COMPUTED_VALUE"""),146.0)</f>
        <v>146</v>
      </c>
    </row>
    <row r="30">
      <c r="C30" s="59">
        <f t="shared" si="1"/>
        <v>0.01660418708</v>
      </c>
      <c r="E30" s="36">
        <v>42331.0</v>
      </c>
      <c r="F30" t="str">
        <f t="shared" si="2"/>
        <v>2015-11</v>
      </c>
      <c r="G30" t="str">
        <f>IFERROR(__xludf.DUMMYFUNCTION("""COMPUTED_VALUE"""),"2016-08")</f>
        <v>2016-08</v>
      </c>
      <c r="H30" s="52">
        <f>IFERROR(__xludf.DUMMYFUNCTION("""COMPUTED_VALUE"""),7.0)</f>
        <v>7</v>
      </c>
      <c r="I30">
        <f t="shared" si="3"/>
        <v>0.0389045521</v>
      </c>
      <c r="J30" s="45">
        <v>0.0</v>
      </c>
      <c r="K30" t="str">
        <f>IFERROR(__xludf.DUMMYFUNCTION("""COMPUTED_VALUE"""),"2016-08")</f>
        <v>2016-08</v>
      </c>
      <c r="L30">
        <f>IFERROR(__xludf.DUMMYFUNCTION("""COMPUTED_VALUE"""),145.0)</f>
        <v>145</v>
      </c>
    </row>
    <row r="31">
      <c r="C31" s="59">
        <f t="shared" si="1"/>
        <v>0.04014299728</v>
      </c>
      <c r="E31" s="36">
        <v>42349.0</v>
      </c>
      <c r="F31" t="str">
        <f t="shared" si="2"/>
        <v>2015-12</v>
      </c>
      <c r="G31" t="str">
        <f>IFERROR(__xludf.DUMMYFUNCTION("""COMPUTED_VALUE"""),"2016-09")</f>
        <v>2016-09</v>
      </c>
      <c r="H31" s="52">
        <f>IFERROR(__xludf.DUMMYFUNCTION("""COMPUTED_VALUE"""),10.0)</f>
        <v>10</v>
      </c>
      <c r="I31">
        <f t="shared" si="3"/>
        <v>0.04184307012</v>
      </c>
      <c r="J31" s="45">
        <v>0.0</v>
      </c>
      <c r="K31" t="str">
        <f>IFERROR(__xludf.DUMMYFUNCTION("""COMPUTED_VALUE"""),"2016-09")</f>
        <v>2016-09</v>
      </c>
      <c r="L31">
        <f>IFERROR(__xludf.DUMMYFUNCTION("""COMPUTED_VALUE"""),95.0)</f>
        <v>95</v>
      </c>
    </row>
    <row r="32">
      <c r="C32" s="59">
        <f t="shared" si="1"/>
        <v>0.007633961892</v>
      </c>
      <c r="E32" s="36">
        <v>42348.0</v>
      </c>
      <c r="F32" t="str">
        <f t="shared" si="2"/>
        <v>2015-12</v>
      </c>
      <c r="G32" t="str">
        <f>IFERROR(__xludf.DUMMYFUNCTION("""COMPUTED_VALUE"""),"2016-10")</f>
        <v>2016-10</v>
      </c>
      <c r="H32" s="52">
        <f>IFERROR(__xludf.DUMMYFUNCTION("""COMPUTED_VALUE"""),2.0)</f>
        <v>2</v>
      </c>
      <c r="I32">
        <f t="shared" si="3"/>
        <v>-0.001110180199</v>
      </c>
      <c r="J32" s="45">
        <v>0.0</v>
      </c>
      <c r="K32" t="str">
        <f>IFERROR(__xludf.DUMMYFUNCTION("""COMPUTED_VALUE"""),"2016-10")</f>
        <v>2016-10</v>
      </c>
      <c r="L32">
        <f>IFERROR(__xludf.DUMMYFUNCTION("""COMPUTED_VALUE"""),53.0)</f>
        <v>53</v>
      </c>
    </row>
    <row r="33">
      <c r="C33" s="59">
        <f t="shared" si="1"/>
        <v>0.0389045521</v>
      </c>
      <c r="E33" s="36">
        <v>42355.0</v>
      </c>
      <c r="F33" t="str">
        <f t="shared" si="2"/>
        <v>2015-12</v>
      </c>
      <c r="G33" t="str">
        <f>IFERROR(__xludf.DUMMYFUNCTION("""COMPUTED_VALUE"""),"2016-11")</f>
        <v>2016-11</v>
      </c>
      <c r="H33" s="52">
        <f>IFERROR(__xludf.DUMMYFUNCTION("""COMPUTED_VALUE"""),9.0)</f>
        <v>9</v>
      </c>
      <c r="I33">
        <f t="shared" si="3"/>
        <v>-0.01966949393</v>
      </c>
      <c r="J33" s="45">
        <v>0.0</v>
      </c>
      <c r="K33" t="str">
        <f>IFERROR(__xludf.DUMMYFUNCTION("""COMPUTED_VALUE"""),"2016-11")</f>
        <v>2016-11</v>
      </c>
      <c r="L33">
        <f>IFERROR(__xludf.DUMMYFUNCTION("""COMPUTED_VALUE"""),158.0)</f>
        <v>158</v>
      </c>
    </row>
    <row r="34">
      <c r="C34" s="59">
        <f t="shared" si="1"/>
        <v>0.04184307012</v>
      </c>
      <c r="E34" s="36">
        <v>42355.0</v>
      </c>
      <c r="F34" t="str">
        <f t="shared" si="2"/>
        <v>2015-12</v>
      </c>
      <c r="G34" t="str">
        <f>IFERROR(__xludf.DUMMYFUNCTION("""COMPUTED_VALUE"""),"2016-12")</f>
        <v>2016-12</v>
      </c>
      <c r="H34" s="52">
        <f>IFERROR(__xludf.DUMMYFUNCTION("""COMPUTED_VALUE"""),5.0)</f>
        <v>5</v>
      </c>
      <c r="I34">
        <f t="shared" si="3"/>
        <v>0.01633896897</v>
      </c>
      <c r="J34" s="45">
        <v>0.0</v>
      </c>
      <c r="K34" t="str">
        <f>IFERROR(__xludf.DUMMYFUNCTION("""COMPUTED_VALUE"""),"2016-12")</f>
        <v>2016-12</v>
      </c>
      <c r="L34">
        <f>IFERROR(__xludf.DUMMYFUNCTION("""COMPUTED_VALUE"""),140.0)</f>
        <v>140</v>
      </c>
    </row>
    <row r="35">
      <c r="C35" s="59">
        <f t="shared" si="1"/>
        <v>-0.001110180199</v>
      </c>
      <c r="E35" s="36">
        <v>42363.0</v>
      </c>
      <c r="F35" t="str">
        <f t="shared" si="2"/>
        <v>2015-12</v>
      </c>
      <c r="G35" t="str">
        <f>IFERROR(__xludf.DUMMYFUNCTION("""COMPUTED_VALUE"""),"2017-01")</f>
        <v>2017-01</v>
      </c>
      <c r="H35" s="52">
        <f>IFERROR(__xludf.DUMMYFUNCTION("""COMPUTED_VALUE"""),2.0)</f>
        <v>2</v>
      </c>
      <c r="I35">
        <f t="shared" si="3"/>
        <v>0.05900793982</v>
      </c>
      <c r="J35" s="45">
        <v>0.0</v>
      </c>
      <c r="K35" t="str">
        <f>IFERROR(__xludf.DUMMYFUNCTION("""COMPUTED_VALUE"""),"2017-01")</f>
        <v>2017-01</v>
      </c>
      <c r="L35">
        <f>IFERROR(__xludf.DUMMYFUNCTION("""COMPUTED_VALUE"""),50.0)</f>
        <v>50</v>
      </c>
    </row>
    <row r="36">
      <c r="C36" s="59">
        <f t="shared" si="1"/>
        <v>-0.01966949393</v>
      </c>
      <c r="E36" s="36">
        <v>42362.0</v>
      </c>
      <c r="F36" t="str">
        <f t="shared" si="2"/>
        <v>2015-12</v>
      </c>
      <c r="G36" t="str">
        <f>IFERROR(__xludf.DUMMYFUNCTION("""COMPUTED_VALUE"""),"2017-02")</f>
        <v>2017-02</v>
      </c>
      <c r="H36" s="52">
        <f>IFERROR(__xludf.DUMMYFUNCTION("""COMPUTED_VALUE"""),4.0)</f>
        <v>4</v>
      </c>
      <c r="I36">
        <f t="shared" si="3"/>
        <v>0.04280209775</v>
      </c>
      <c r="J36" s="45">
        <v>0.0</v>
      </c>
      <c r="K36" t="str">
        <f>IFERROR(__xludf.DUMMYFUNCTION("""COMPUTED_VALUE"""),"2017-02")</f>
        <v>2017-02</v>
      </c>
      <c r="L36">
        <f>IFERROR(__xludf.DUMMYFUNCTION("""COMPUTED_VALUE"""),144.0)</f>
        <v>144</v>
      </c>
    </row>
    <row r="37">
      <c r="C37" s="59">
        <f t="shared" si="1"/>
        <v>0.01633896897</v>
      </c>
      <c r="E37" s="36">
        <v>42380.0</v>
      </c>
      <c r="F37" t="str">
        <f t="shared" si="2"/>
        <v>2016-01</v>
      </c>
      <c r="G37" t="str">
        <f>IFERROR(__xludf.DUMMYFUNCTION("""COMPUTED_VALUE"""),"2017-03")</f>
        <v>2017-03</v>
      </c>
      <c r="H37" s="52">
        <f>IFERROR(__xludf.DUMMYFUNCTION("""COMPUTED_VALUE"""),5.0)</f>
        <v>5</v>
      </c>
      <c r="I37">
        <f t="shared" si="3"/>
        <v>0.03115835861</v>
      </c>
      <c r="J37" s="45">
        <v>0.0</v>
      </c>
      <c r="K37" t="str">
        <f>IFERROR(__xludf.DUMMYFUNCTION("""COMPUTED_VALUE"""),"2017-03")</f>
        <v>2017-03</v>
      </c>
      <c r="L37">
        <f>IFERROR(__xludf.DUMMYFUNCTION("""COMPUTED_VALUE"""),87.0)</f>
        <v>87</v>
      </c>
    </row>
    <row r="38">
      <c r="C38" s="59">
        <f t="shared" si="1"/>
        <v>0.05900793982</v>
      </c>
      <c r="E38" s="36">
        <v>42380.0</v>
      </c>
      <c r="F38" t="str">
        <f t="shared" si="2"/>
        <v>2016-01</v>
      </c>
      <c r="G38" t="str">
        <f>IFERROR(__xludf.DUMMYFUNCTION("""COMPUTED_VALUE"""),"2017-04")</f>
        <v>2017-04</v>
      </c>
      <c r="H38" s="52">
        <f>IFERROR(__xludf.DUMMYFUNCTION("""COMPUTED_VALUE"""),2.0)</f>
        <v>2</v>
      </c>
      <c r="I38">
        <f t="shared" si="3"/>
        <v>-0.03255466587</v>
      </c>
      <c r="J38" s="45">
        <v>0.0</v>
      </c>
      <c r="K38" t="str">
        <f>IFERROR(__xludf.DUMMYFUNCTION("""COMPUTED_VALUE"""),"2017-04")</f>
        <v>2017-04</v>
      </c>
      <c r="L38">
        <f>IFERROR(__xludf.DUMMYFUNCTION("""COMPUTED_VALUE"""),126.0)</f>
        <v>126</v>
      </c>
    </row>
    <row r="39">
      <c r="C39" s="59">
        <f t="shared" si="1"/>
        <v>0.04280209775</v>
      </c>
      <c r="E39" s="36">
        <v>42387.0</v>
      </c>
      <c r="F39" t="str">
        <f t="shared" si="2"/>
        <v>2016-01</v>
      </c>
      <c r="G39" t="str">
        <f>IFERROR(__xludf.DUMMYFUNCTION("""COMPUTED_VALUE"""),"2017-05")</f>
        <v>2017-05</v>
      </c>
      <c r="H39" s="52">
        <f>IFERROR(__xludf.DUMMYFUNCTION("""COMPUTED_VALUE"""),3.0)</f>
        <v>3</v>
      </c>
      <c r="I39">
        <f t="shared" si="3"/>
        <v>0.03891641911</v>
      </c>
      <c r="J39" s="45">
        <v>0.0</v>
      </c>
      <c r="K39" t="str">
        <f>IFERROR(__xludf.DUMMYFUNCTION("""COMPUTED_VALUE"""),"2017-05")</f>
        <v>2017-05</v>
      </c>
      <c r="L39">
        <f>IFERROR(__xludf.DUMMYFUNCTION("""COMPUTED_VALUE"""),34.0)</f>
        <v>34</v>
      </c>
    </row>
    <row r="40">
      <c r="C40" s="59">
        <f t="shared" si="1"/>
        <v>0.03115835861</v>
      </c>
      <c r="E40" s="36">
        <v>42387.0</v>
      </c>
      <c r="F40" t="str">
        <f t="shared" si="2"/>
        <v>2016-01</v>
      </c>
      <c r="G40" t="str">
        <f>IFERROR(__xludf.DUMMYFUNCTION("""COMPUTED_VALUE"""),"2017-06")</f>
        <v>2017-06</v>
      </c>
      <c r="H40" s="52">
        <f>IFERROR(__xludf.DUMMYFUNCTION("""COMPUTED_VALUE"""),1.0)</f>
        <v>1</v>
      </c>
      <c r="I40">
        <f t="shared" si="3"/>
        <v>-0.002104625205</v>
      </c>
      <c r="J40" s="45">
        <v>0.0</v>
      </c>
      <c r="K40" t="str">
        <f>IFERROR(__xludf.DUMMYFUNCTION("""COMPUTED_VALUE"""),"2017-06")</f>
        <v>2017-06</v>
      </c>
      <c r="L40">
        <f>IFERROR(__xludf.DUMMYFUNCTION("""COMPUTED_VALUE"""),0.0)</f>
        <v>0</v>
      </c>
    </row>
    <row r="41">
      <c r="C41" s="59">
        <f t="shared" si="1"/>
        <v>-0.03255466587</v>
      </c>
      <c r="E41" s="36">
        <v>42399.0</v>
      </c>
      <c r="F41" t="str">
        <f t="shared" si="2"/>
        <v>2016-01</v>
      </c>
      <c r="G41" t="str">
        <f>IFERROR(__xludf.DUMMYFUNCTION("""COMPUTED_VALUE"""),"2017-07")</f>
        <v>2017-07</v>
      </c>
      <c r="H41" s="52">
        <f>IFERROR(__xludf.DUMMYFUNCTION("""COMPUTED_VALUE"""),3.0)</f>
        <v>3</v>
      </c>
      <c r="I41">
        <f t="shared" si="3"/>
        <v>0.02489340194</v>
      </c>
      <c r="J41" s="45">
        <v>0.0</v>
      </c>
      <c r="K41" t="str">
        <f>IFERROR(__xludf.DUMMYFUNCTION("""COMPUTED_VALUE"""),"2017-07")</f>
        <v>2017-07</v>
      </c>
      <c r="L41">
        <f>IFERROR(__xludf.DUMMYFUNCTION("""COMPUTED_VALUE"""),164.0)</f>
        <v>164</v>
      </c>
    </row>
    <row r="42">
      <c r="C42" s="59">
        <f t="shared" si="1"/>
        <v>0.03891641911</v>
      </c>
      <c r="E42" s="36">
        <v>42399.0</v>
      </c>
      <c r="F42" t="str">
        <f t="shared" si="2"/>
        <v>2016-01</v>
      </c>
      <c r="G42" t="str">
        <f>IFERROR(__xludf.DUMMYFUNCTION("""COMPUTED_VALUE"""),"2017-09")</f>
        <v>2017-09</v>
      </c>
      <c r="H42" s="52">
        <f>IFERROR(__xludf.DUMMYFUNCTION("""COMPUTED_VALUE"""),2.0)</f>
        <v>2</v>
      </c>
      <c r="I42">
        <f t="shared" si="3"/>
        <v>0.004944847555</v>
      </c>
      <c r="J42" s="45">
        <v>0.0</v>
      </c>
      <c r="K42" t="str">
        <f>IFERROR(__xludf.DUMMYFUNCTION("""COMPUTED_VALUE"""),"2017-09")</f>
        <v>2017-09</v>
      </c>
      <c r="L42">
        <f>IFERROR(__xludf.DUMMYFUNCTION("""COMPUTED_VALUE"""),87.0)</f>
        <v>87</v>
      </c>
    </row>
    <row r="43">
      <c r="C43" s="59">
        <f t="shared" si="1"/>
        <v>-0.002104625205</v>
      </c>
      <c r="E43" s="36">
        <v>42429.0</v>
      </c>
      <c r="F43" t="str">
        <f t="shared" si="2"/>
        <v>2016-02</v>
      </c>
      <c r="G43" t="str">
        <f>IFERROR(__xludf.DUMMYFUNCTION("""COMPUTED_VALUE"""),"2017-10")</f>
        <v>2017-10</v>
      </c>
      <c r="H43" s="52">
        <f>IFERROR(__xludf.DUMMYFUNCTION("""COMPUTED_VALUE"""),3.0)</f>
        <v>3</v>
      </c>
      <c r="I43">
        <f t="shared" si="3"/>
        <v>0.02106256612</v>
      </c>
      <c r="J43" s="45">
        <v>0.0</v>
      </c>
      <c r="K43" t="str">
        <f>IFERROR(__xludf.DUMMYFUNCTION("""COMPUTED_VALUE"""),"2017-10")</f>
        <v>2017-10</v>
      </c>
      <c r="L43">
        <f>IFERROR(__xludf.DUMMYFUNCTION("""COMPUTED_VALUE"""),103.0)</f>
        <v>103</v>
      </c>
    </row>
    <row r="44">
      <c r="C44" s="59">
        <f t="shared" si="1"/>
        <v>0.02489340194</v>
      </c>
      <c r="E44" s="36">
        <v>42429.0</v>
      </c>
      <c r="F44" t="str">
        <f t="shared" si="2"/>
        <v>2016-02</v>
      </c>
      <c r="G44" t="str">
        <f>IFERROR(__xludf.DUMMYFUNCTION("""COMPUTED_VALUE"""),"2017-11")</f>
        <v>2017-11</v>
      </c>
      <c r="H44" s="52">
        <f>IFERROR(__xludf.DUMMYFUNCTION("""COMPUTED_VALUE"""),1.0)</f>
        <v>1</v>
      </c>
      <c r="I44">
        <f t="shared" si="3"/>
        <v>0.02106256612</v>
      </c>
      <c r="J44" s="45">
        <v>0.0</v>
      </c>
      <c r="K44" t="str">
        <f>IFERROR(__xludf.DUMMYFUNCTION("""COMPUTED_VALUE"""),"2017-11")</f>
        <v>2017-11</v>
      </c>
      <c r="L44">
        <f>IFERROR(__xludf.DUMMYFUNCTION("""COMPUTED_VALUE"""),33.0)</f>
        <v>33</v>
      </c>
    </row>
    <row r="45">
      <c r="C45" s="59">
        <f t="shared" si="1"/>
        <v>0.01276451601</v>
      </c>
      <c r="E45" s="36">
        <v>42447.0</v>
      </c>
      <c r="F45" t="str">
        <f t="shared" si="2"/>
        <v>2016-03</v>
      </c>
      <c r="H45" s="52"/>
      <c r="J45" s="45">
        <v>0.0</v>
      </c>
    </row>
    <row r="46">
      <c r="C46" s="59">
        <f t="shared" si="1"/>
        <v>0.004944847555</v>
      </c>
      <c r="E46" s="36">
        <v>42447.0</v>
      </c>
      <c r="F46" t="str">
        <f t="shared" si="2"/>
        <v>2016-03</v>
      </c>
      <c r="H46" s="52"/>
      <c r="J46" s="45">
        <v>0.0</v>
      </c>
    </row>
    <row r="47">
      <c r="C47" s="59">
        <f t="shared" si="1"/>
        <v>0.02106256612</v>
      </c>
      <c r="E47" s="36">
        <v>42454.0</v>
      </c>
      <c r="F47" t="str">
        <f t="shared" si="2"/>
        <v>2016-03</v>
      </c>
      <c r="H47" s="52"/>
      <c r="J47" s="45">
        <v>0.0</v>
      </c>
    </row>
    <row r="48">
      <c r="C48" s="59"/>
      <c r="E48" s="36">
        <v>42454.0</v>
      </c>
      <c r="F48" t="str">
        <f t="shared" si="2"/>
        <v>2016-03</v>
      </c>
      <c r="H48" s="52"/>
      <c r="J48" s="45">
        <v>0.0</v>
      </c>
    </row>
    <row r="49">
      <c r="B49" s="50"/>
      <c r="C49" s="59">
        <f t="shared" ref="C49:C73" si="4">B49-$B$74</f>
        <v>0</v>
      </c>
      <c r="E49" s="36">
        <v>42455.0</v>
      </c>
      <c r="F49" t="str">
        <f t="shared" si="2"/>
        <v>2016-03</v>
      </c>
      <c r="H49" s="52"/>
      <c r="J49" s="45">
        <v>0.0</v>
      </c>
    </row>
    <row r="50">
      <c r="B50" s="50"/>
      <c r="C50" s="59">
        <f t="shared" si="4"/>
        <v>0</v>
      </c>
      <c r="E50" s="36">
        <v>42455.0</v>
      </c>
      <c r="F50" t="str">
        <f t="shared" si="2"/>
        <v>2016-03</v>
      </c>
      <c r="H50" s="52"/>
      <c r="J50" s="45">
        <v>0.0</v>
      </c>
    </row>
    <row r="51">
      <c r="B51" s="50"/>
      <c r="C51" s="59">
        <f t="shared" si="4"/>
        <v>0</v>
      </c>
      <c r="E51" s="36">
        <v>42467.0</v>
      </c>
      <c r="F51" t="str">
        <f t="shared" si="2"/>
        <v>2016-04</v>
      </c>
      <c r="H51" s="52"/>
      <c r="J51" s="45">
        <v>0.0</v>
      </c>
    </row>
    <row r="52">
      <c r="B52" s="50"/>
      <c r="C52" s="59">
        <f t="shared" si="4"/>
        <v>0</v>
      </c>
      <c r="E52" s="36">
        <v>42467.0</v>
      </c>
      <c r="F52" t="str">
        <f t="shared" si="2"/>
        <v>2016-04</v>
      </c>
      <c r="H52" s="52"/>
      <c r="J52" s="45">
        <v>0.0</v>
      </c>
    </row>
    <row r="53">
      <c r="B53" s="50"/>
      <c r="C53" s="59">
        <f t="shared" si="4"/>
        <v>0</v>
      </c>
      <c r="E53" s="36">
        <v>42497.0</v>
      </c>
      <c r="F53" t="str">
        <f t="shared" si="2"/>
        <v>2016-05</v>
      </c>
      <c r="H53" s="52"/>
      <c r="J53" s="45">
        <v>0.0</v>
      </c>
    </row>
    <row r="54">
      <c r="B54" s="50"/>
      <c r="C54" s="59">
        <f t="shared" si="4"/>
        <v>0</v>
      </c>
      <c r="E54" s="36">
        <v>42497.0</v>
      </c>
      <c r="F54" t="str">
        <f t="shared" si="2"/>
        <v>2016-05</v>
      </c>
      <c r="H54" s="52"/>
      <c r="J54" s="45">
        <v>0.0</v>
      </c>
    </row>
    <row r="55">
      <c r="B55" s="50"/>
      <c r="C55" s="59">
        <f t="shared" si="4"/>
        <v>0</v>
      </c>
      <c r="E55" s="36">
        <v>42501.0</v>
      </c>
      <c r="F55" t="str">
        <f t="shared" si="2"/>
        <v>2016-05</v>
      </c>
      <c r="H55" s="52"/>
      <c r="J55" s="45">
        <v>0.0</v>
      </c>
    </row>
    <row r="56">
      <c r="B56" s="50"/>
      <c r="C56" s="59">
        <f t="shared" si="4"/>
        <v>0</v>
      </c>
      <c r="E56" s="36">
        <v>42501.0</v>
      </c>
      <c r="F56" t="str">
        <f t="shared" si="2"/>
        <v>2016-05</v>
      </c>
      <c r="H56" s="52"/>
      <c r="J56" s="45">
        <v>0.0</v>
      </c>
    </row>
    <row r="57">
      <c r="B57" s="50"/>
      <c r="C57" s="59">
        <f t="shared" si="4"/>
        <v>0</v>
      </c>
      <c r="E57" s="36">
        <v>42501.0</v>
      </c>
      <c r="F57" t="str">
        <f t="shared" si="2"/>
        <v>2016-05</v>
      </c>
      <c r="H57" s="52"/>
      <c r="J57" s="45">
        <v>0.0</v>
      </c>
    </row>
    <row r="58">
      <c r="B58" s="50"/>
      <c r="C58" s="59">
        <f t="shared" si="4"/>
        <v>0</v>
      </c>
      <c r="E58" s="36">
        <v>42501.0</v>
      </c>
      <c r="F58" t="str">
        <f t="shared" si="2"/>
        <v>2016-05</v>
      </c>
      <c r="H58" s="52"/>
      <c r="J58" s="45">
        <v>0.0</v>
      </c>
    </row>
    <row r="59">
      <c r="B59" s="50"/>
      <c r="C59" s="59">
        <f t="shared" si="4"/>
        <v>0</v>
      </c>
      <c r="E59" s="36">
        <v>42537.0</v>
      </c>
      <c r="F59" t="str">
        <f t="shared" si="2"/>
        <v>2016-06</v>
      </c>
      <c r="H59" s="52"/>
      <c r="J59" s="45">
        <v>0.0</v>
      </c>
    </row>
    <row r="60">
      <c r="B60" s="50"/>
      <c r="C60" s="59">
        <f t="shared" si="4"/>
        <v>0</v>
      </c>
      <c r="E60" s="36">
        <v>42537.0</v>
      </c>
      <c r="F60" t="str">
        <f t="shared" si="2"/>
        <v>2016-06</v>
      </c>
      <c r="H60" s="52"/>
      <c r="J60" s="45">
        <v>0.0</v>
      </c>
    </row>
    <row r="61">
      <c r="B61" s="50"/>
      <c r="C61" s="59">
        <f t="shared" si="4"/>
        <v>0</v>
      </c>
      <c r="E61" s="36">
        <v>42549.0</v>
      </c>
      <c r="F61" t="str">
        <f t="shared" si="2"/>
        <v>2016-06</v>
      </c>
      <c r="H61" s="52"/>
      <c r="J61" s="45">
        <v>0.0</v>
      </c>
    </row>
    <row r="62">
      <c r="B62" s="50"/>
      <c r="C62" s="59">
        <f t="shared" si="4"/>
        <v>0</v>
      </c>
      <c r="E62" s="36">
        <v>42549.0</v>
      </c>
      <c r="F62" t="str">
        <f t="shared" si="2"/>
        <v>2016-06</v>
      </c>
      <c r="H62" s="52"/>
      <c r="J62" s="45">
        <v>0.0</v>
      </c>
    </row>
    <row r="63">
      <c r="B63" s="50"/>
      <c r="C63" s="59">
        <f t="shared" si="4"/>
        <v>0</v>
      </c>
      <c r="E63" s="36">
        <v>42636.0</v>
      </c>
      <c r="F63" t="str">
        <f t="shared" si="2"/>
        <v>2016-09</v>
      </c>
      <c r="H63" s="52"/>
      <c r="J63" s="45">
        <v>0.0</v>
      </c>
    </row>
    <row r="64">
      <c r="B64" s="50"/>
      <c r="C64" s="59">
        <f t="shared" si="4"/>
        <v>0</v>
      </c>
      <c r="E64" s="36">
        <v>42636.0</v>
      </c>
      <c r="F64" t="str">
        <f t="shared" si="2"/>
        <v>2016-09</v>
      </c>
      <c r="H64" s="52"/>
      <c r="J64" s="45">
        <v>0.0</v>
      </c>
    </row>
    <row r="65">
      <c r="B65" s="50"/>
      <c r="C65" s="59">
        <f t="shared" si="4"/>
        <v>0</v>
      </c>
      <c r="E65" s="36">
        <v>42640.0</v>
      </c>
      <c r="F65" t="str">
        <f t="shared" si="2"/>
        <v>2016-09</v>
      </c>
      <c r="H65" s="52"/>
      <c r="J65" s="45">
        <v>0.0</v>
      </c>
    </row>
    <row r="66">
      <c r="B66" s="50"/>
      <c r="C66" s="59">
        <f t="shared" si="4"/>
        <v>0</v>
      </c>
      <c r="E66" s="36">
        <v>42640.0</v>
      </c>
      <c r="F66" t="str">
        <f t="shared" si="2"/>
        <v>2016-09</v>
      </c>
      <c r="H66" s="52"/>
      <c r="J66" s="45">
        <v>0.0</v>
      </c>
    </row>
    <row r="67">
      <c r="B67" s="50"/>
      <c r="C67" s="59">
        <f t="shared" si="4"/>
        <v>0</v>
      </c>
      <c r="E67" s="36">
        <v>42531.0</v>
      </c>
      <c r="F67" t="str">
        <f t="shared" si="2"/>
        <v>2016-06</v>
      </c>
      <c r="H67" s="52"/>
      <c r="J67" s="45">
        <v>658.0</v>
      </c>
    </row>
    <row r="68">
      <c r="B68" s="50"/>
      <c r="C68" s="59">
        <f t="shared" si="4"/>
        <v>0</v>
      </c>
      <c r="E68" s="36">
        <v>42534.0</v>
      </c>
      <c r="F68" t="str">
        <f t="shared" si="2"/>
        <v>2016-06</v>
      </c>
      <c r="H68" s="52"/>
      <c r="J68" s="45">
        <v>17.0</v>
      </c>
    </row>
    <row r="69">
      <c r="B69" s="50"/>
      <c r="C69" s="59">
        <f t="shared" si="4"/>
        <v>0</v>
      </c>
      <c r="E69" s="36">
        <v>42536.0</v>
      </c>
      <c r="F69" t="str">
        <f t="shared" si="2"/>
        <v>2016-06</v>
      </c>
      <c r="H69" s="52"/>
      <c r="J69" s="45">
        <v>10.0</v>
      </c>
    </row>
    <row r="70">
      <c r="B70" s="50"/>
      <c r="C70" s="59">
        <f t="shared" si="4"/>
        <v>0</v>
      </c>
      <c r="E70" s="36">
        <v>42537.0</v>
      </c>
      <c r="F70" t="str">
        <f t="shared" si="2"/>
        <v>2016-06</v>
      </c>
      <c r="H70" s="52"/>
      <c r="J70" s="45">
        <v>4.0</v>
      </c>
    </row>
    <row r="71">
      <c r="B71" s="50"/>
      <c r="C71" s="59">
        <f t="shared" si="4"/>
        <v>0</v>
      </c>
      <c r="E71" s="36">
        <v>42538.0</v>
      </c>
      <c r="F71" t="str">
        <f t="shared" si="2"/>
        <v>2016-06</v>
      </c>
      <c r="H71" s="52"/>
      <c r="J71" s="45">
        <v>10.0</v>
      </c>
    </row>
    <row r="72">
      <c r="B72" s="50"/>
      <c r="C72" s="59">
        <f t="shared" si="4"/>
        <v>0</v>
      </c>
      <c r="E72" s="36">
        <v>42543.0</v>
      </c>
      <c r="F72" t="str">
        <f t="shared" si="2"/>
        <v>2016-06</v>
      </c>
      <c r="H72" s="52"/>
      <c r="J72" s="45">
        <v>23.0</v>
      </c>
    </row>
    <row r="73">
      <c r="B73" s="50"/>
      <c r="C73" s="59">
        <f t="shared" si="4"/>
        <v>0</v>
      </c>
      <c r="E73" s="36">
        <v>42549.0</v>
      </c>
      <c r="F73" t="str">
        <f t="shared" si="2"/>
        <v>2016-06</v>
      </c>
      <c r="H73" s="52"/>
      <c r="J73" s="45">
        <v>36.0</v>
      </c>
    </row>
    <row r="74">
      <c r="B74" s="50"/>
      <c r="C74" s="59"/>
      <c r="E74" s="36">
        <v>42549.0</v>
      </c>
      <c r="F74" t="str">
        <f t="shared" si="2"/>
        <v>2016-06</v>
      </c>
      <c r="H74" s="52"/>
      <c r="J74" s="45">
        <v>10.0</v>
      </c>
    </row>
    <row r="75">
      <c r="B75" s="50"/>
      <c r="C75" s="59"/>
      <c r="E75" s="36">
        <v>42558.0</v>
      </c>
      <c r="F75" t="str">
        <f t="shared" si="2"/>
        <v>2016-07</v>
      </c>
      <c r="H75" s="52"/>
      <c r="J75" s="45">
        <v>41.0</v>
      </c>
    </row>
    <row r="76">
      <c r="B76" s="50"/>
      <c r="C76" s="59"/>
      <c r="E76" s="36">
        <v>42568.0</v>
      </c>
      <c r="F76" t="str">
        <f t="shared" si="2"/>
        <v>2016-07</v>
      </c>
      <c r="H76" s="52"/>
      <c r="J76" s="45">
        <v>65.0</v>
      </c>
    </row>
    <row r="77">
      <c r="B77" s="50"/>
      <c r="C77" s="59"/>
      <c r="E77" s="36">
        <v>42575.0</v>
      </c>
      <c r="F77" t="str">
        <f t="shared" si="2"/>
        <v>2016-07</v>
      </c>
      <c r="H77" s="52"/>
      <c r="I77" s="64" t="s">
        <v>151</v>
      </c>
      <c r="J77" s="45">
        <v>22.0</v>
      </c>
    </row>
    <row r="78">
      <c r="B78" s="50"/>
      <c r="C78" s="59"/>
      <c r="E78" s="36">
        <v>42577.0</v>
      </c>
      <c r="F78" t="str">
        <f t="shared" si="2"/>
        <v>2016-07</v>
      </c>
      <c r="H78" s="52"/>
      <c r="J78" s="45">
        <v>10.0</v>
      </c>
    </row>
    <row r="79">
      <c r="B79" s="50"/>
      <c r="C79" s="59"/>
      <c r="E79" s="36">
        <v>42578.0</v>
      </c>
      <c r="F79" t="str">
        <f t="shared" si="2"/>
        <v>2016-07</v>
      </c>
      <c r="H79" s="52"/>
      <c r="J79" s="45">
        <v>8.0</v>
      </c>
    </row>
    <row r="80">
      <c r="B80" s="50"/>
      <c r="C80" s="59"/>
      <c r="E80" s="36">
        <v>42583.0</v>
      </c>
      <c r="F80" t="str">
        <f t="shared" si="2"/>
        <v>2016-08</v>
      </c>
      <c r="H80" s="52"/>
      <c r="J80" s="45">
        <v>28.0</v>
      </c>
    </row>
    <row r="81">
      <c r="B81" s="50"/>
      <c r="C81" s="59"/>
      <c r="E81" s="36">
        <v>42587.0</v>
      </c>
      <c r="F81" t="str">
        <f t="shared" si="2"/>
        <v>2016-08</v>
      </c>
      <c r="H81" s="52"/>
      <c r="J81" s="45">
        <v>21.0</v>
      </c>
    </row>
    <row r="82">
      <c r="B82" s="50"/>
      <c r="C82" s="59"/>
      <c r="E82" s="36">
        <v>42592.0</v>
      </c>
      <c r="F82" t="str">
        <f t="shared" si="2"/>
        <v>2016-08</v>
      </c>
      <c r="H82" s="52"/>
      <c r="J82" s="45">
        <v>11.0</v>
      </c>
    </row>
    <row r="83">
      <c r="B83" s="50"/>
      <c r="C83" s="59"/>
      <c r="E83" s="36">
        <v>42593.0</v>
      </c>
      <c r="F83" t="str">
        <f t="shared" si="2"/>
        <v>2016-08</v>
      </c>
      <c r="H83" s="52"/>
      <c r="J83" s="45">
        <v>5.0</v>
      </c>
    </row>
    <row r="84">
      <c r="B84" s="50"/>
      <c r="C84" s="59"/>
      <c r="E84" s="36">
        <v>42598.0</v>
      </c>
      <c r="F84" t="str">
        <f t="shared" si="2"/>
        <v>2016-08</v>
      </c>
      <c r="H84" s="52"/>
      <c r="J84" s="45">
        <v>31.0</v>
      </c>
    </row>
    <row r="85">
      <c r="B85" s="50"/>
      <c r="C85" s="59"/>
      <c r="E85" s="36">
        <v>42602.0</v>
      </c>
      <c r="F85" t="str">
        <f t="shared" si="2"/>
        <v>2016-08</v>
      </c>
      <c r="H85" s="52"/>
      <c r="J85" s="45">
        <v>20.0</v>
      </c>
    </row>
    <row r="86">
      <c r="B86" s="50"/>
      <c r="C86" s="59"/>
      <c r="E86" s="36">
        <v>42611.0</v>
      </c>
      <c r="F86" t="str">
        <f t="shared" si="2"/>
        <v>2016-08</v>
      </c>
      <c r="H86" s="52"/>
      <c r="J86" s="45">
        <v>29.0</v>
      </c>
    </row>
    <row r="87">
      <c r="B87" s="50"/>
      <c r="C87" s="59"/>
      <c r="E87" s="36">
        <v>42621.0</v>
      </c>
      <c r="F87" t="str">
        <f t="shared" si="2"/>
        <v>2016-09</v>
      </c>
      <c r="H87" s="52"/>
      <c r="J87" s="45">
        <v>21.0</v>
      </c>
    </row>
    <row r="88">
      <c r="B88" s="50"/>
      <c r="C88" s="59"/>
      <c r="E88" s="36">
        <v>42626.0</v>
      </c>
      <c r="F88" t="str">
        <f t="shared" si="2"/>
        <v>2016-09</v>
      </c>
      <c r="H88" s="52"/>
      <c r="J88" s="45">
        <v>12.0</v>
      </c>
    </row>
    <row r="89">
      <c r="B89" s="50"/>
      <c r="C89" s="59"/>
      <c r="E89" s="36">
        <v>42636.0</v>
      </c>
      <c r="F89" t="str">
        <f t="shared" si="2"/>
        <v>2016-09</v>
      </c>
      <c r="H89" s="52"/>
      <c r="J89" s="45">
        <v>28.0</v>
      </c>
    </row>
    <row r="90">
      <c r="B90" s="50"/>
      <c r="C90" s="59"/>
      <c r="E90" s="36">
        <v>42640.0</v>
      </c>
      <c r="F90" t="str">
        <f t="shared" si="2"/>
        <v>2016-09</v>
      </c>
      <c r="H90" s="52"/>
      <c r="J90" s="45">
        <v>7.0</v>
      </c>
    </row>
    <row r="91">
      <c r="B91" s="50"/>
      <c r="C91" s="59"/>
      <c r="E91" s="36">
        <v>42643.0</v>
      </c>
      <c r="F91" t="str">
        <f t="shared" si="2"/>
        <v>2016-09</v>
      </c>
      <c r="H91" s="52"/>
      <c r="I91" t="str">
        <f t="shared" ref="I91:I100" si="5">C91</f>
        <v/>
      </c>
      <c r="J91" s="45">
        <v>24.0</v>
      </c>
    </row>
    <row r="92">
      <c r="B92" s="50"/>
      <c r="C92" s="59"/>
      <c r="E92" s="36">
        <v>42643.0</v>
      </c>
      <c r="F92" t="str">
        <f t="shared" si="2"/>
        <v>2016-09</v>
      </c>
      <c r="H92" s="52"/>
      <c r="I92" t="str">
        <f t="shared" si="5"/>
        <v/>
      </c>
      <c r="J92" s="45">
        <v>3.0</v>
      </c>
    </row>
    <row r="93">
      <c r="B93" s="50"/>
      <c r="C93" s="59"/>
      <c r="E93" s="36">
        <v>42655.0</v>
      </c>
      <c r="F93" t="str">
        <f t="shared" si="2"/>
        <v>2016-10</v>
      </c>
      <c r="H93" s="52"/>
      <c r="I93" t="str">
        <f t="shared" si="5"/>
        <v/>
      </c>
      <c r="J93" s="45">
        <v>36.0</v>
      </c>
    </row>
    <row r="94">
      <c r="B94" s="50"/>
      <c r="C94" s="59"/>
      <c r="E94" s="36">
        <v>42656.0</v>
      </c>
      <c r="F94" t="str">
        <f t="shared" si="2"/>
        <v>2016-10</v>
      </c>
      <c r="H94" s="52"/>
      <c r="I94" t="str">
        <f t="shared" si="5"/>
        <v/>
      </c>
      <c r="J94" s="45">
        <v>17.0</v>
      </c>
    </row>
    <row r="95">
      <c r="B95" s="50"/>
      <c r="C95" s="59"/>
      <c r="E95" s="36">
        <v>42678.0</v>
      </c>
      <c r="F95" t="str">
        <f t="shared" si="2"/>
        <v>2016-11</v>
      </c>
      <c r="H95" s="52"/>
      <c r="I95" t="str">
        <f t="shared" si="5"/>
        <v/>
      </c>
      <c r="J95" s="45">
        <v>41.0</v>
      </c>
    </row>
    <row r="96">
      <c r="B96" s="50"/>
      <c r="C96" s="59"/>
      <c r="E96" s="36">
        <v>42679.0</v>
      </c>
      <c r="F96" t="str">
        <f t="shared" si="2"/>
        <v>2016-11</v>
      </c>
      <c r="H96" s="52"/>
      <c r="I96" t="str">
        <f t="shared" si="5"/>
        <v/>
      </c>
      <c r="J96" s="45">
        <v>8.0</v>
      </c>
    </row>
    <row r="97">
      <c r="B97" s="50"/>
      <c r="C97" s="59"/>
      <c r="E97" s="36">
        <v>42689.0</v>
      </c>
      <c r="F97" t="str">
        <f t="shared" si="2"/>
        <v>2016-11</v>
      </c>
      <c r="H97" s="52"/>
      <c r="I97" t="str">
        <f t="shared" si="5"/>
        <v/>
      </c>
      <c r="J97" s="45">
        <v>36.0</v>
      </c>
    </row>
    <row r="98">
      <c r="B98" s="50"/>
      <c r="C98" s="59"/>
      <c r="E98" s="36">
        <v>42690.0</v>
      </c>
      <c r="F98" t="str">
        <f t="shared" si="2"/>
        <v>2016-11</v>
      </c>
      <c r="H98" s="52"/>
      <c r="I98" t="str">
        <f t="shared" si="5"/>
        <v/>
      </c>
      <c r="J98" s="45">
        <v>8.0</v>
      </c>
    </row>
    <row r="99">
      <c r="B99" s="50"/>
      <c r="C99" s="59"/>
      <c r="E99" s="36">
        <v>42694.0</v>
      </c>
      <c r="F99" t="str">
        <f t="shared" si="2"/>
        <v>2016-11</v>
      </c>
      <c r="H99" s="52"/>
      <c r="I99" t="str">
        <f t="shared" si="5"/>
        <v/>
      </c>
      <c r="J99" s="45">
        <v>17.0</v>
      </c>
    </row>
    <row r="100">
      <c r="B100" s="50"/>
      <c r="C100" s="59"/>
      <c r="E100" s="36">
        <v>42696.0</v>
      </c>
      <c r="F100" t="str">
        <f t="shared" si="2"/>
        <v>2016-11</v>
      </c>
      <c r="H100" s="52"/>
      <c r="I100" t="str">
        <f t="shared" si="5"/>
        <v/>
      </c>
      <c r="J100" s="45">
        <v>35.0</v>
      </c>
    </row>
    <row r="101">
      <c r="B101" s="50"/>
      <c r="C101" s="59"/>
      <c r="E101" s="36">
        <v>42697.0</v>
      </c>
      <c r="F101" t="str">
        <f t="shared" si="2"/>
        <v>2016-11</v>
      </c>
      <c r="H101" s="52"/>
      <c r="J101" s="45">
        <v>6.0</v>
      </c>
    </row>
    <row r="102">
      <c r="B102" s="50"/>
      <c r="C102" s="59"/>
      <c r="E102" s="36">
        <v>42697.0</v>
      </c>
      <c r="F102" t="str">
        <f t="shared" si="2"/>
        <v>2016-11</v>
      </c>
      <c r="H102" s="52"/>
      <c r="J102" s="45">
        <v>5.0</v>
      </c>
    </row>
    <row r="103">
      <c r="B103" s="50"/>
      <c r="C103" s="59"/>
      <c r="E103" s="36">
        <v>42698.0</v>
      </c>
      <c r="F103" t="str">
        <f t="shared" si="2"/>
        <v>2016-11</v>
      </c>
      <c r="H103" s="52"/>
      <c r="J103" s="45">
        <v>2.0</v>
      </c>
    </row>
    <row r="104">
      <c r="B104" s="50"/>
      <c r="C104" s="59"/>
      <c r="E104" s="36">
        <v>42706.0</v>
      </c>
      <c r="F104" t="str">
        <f t="shared" si="2"/>
        <v>2016-12</v>
      </c>
      <c r="H104" s="52"/>
      <c r="J104" s="45">
        <v>39.0</v>
      </c>
    </row>
    <row r="105">
      <c r="B105" s="50"/>
      <c r="C105" s="59"/>
      <c r="E105" s="36">
        <v>42717.0</v>
      </c>
      <c r="F105" t="str">
        <f t="shared" si="2"/>
        <v>2016-12</v>
      </c>
      <c r="H105" s="52"/>
      <c r="J105" s="45">
        <v>38.0</v>
      </c>
    </row>
    <row r="106">
      <c r="B106" s="50"/>
      <c r="C106" s="59"/>
      <c r="E106" s="36">
        <v>42717.0</v>
      </c>
      <c r="F106" t="str">
        <f t="shared" si="2"/>
        <v>2016-12</v>
      </c>
      <c r="H106" s="52"/>
      <c r="J106" s="45">
        <v>6.0</v>
      </c>
    </row>
    <row r="107">
      <c r="B107" s="50"/>
      <c r="C107" s="59"/>
      <c r="E107" s="36">
        <v>42728.0</v>
      </c>
      <c r="F107" t="str">
        <f t="shared" si="2"/>
        <v>2016-12</v>
      </c>
      <c r="H107" s="52"/>
      <c r="J107" s="45">
        <v>35.0</v>
      </c>
    </row>
    <row r="108">
      <c r="B108" s="50"/>
      <c r="C108" s="59"/>
      <c r="E108" s="36">
        <v>42732.0</v>
      </c>
      <c r="F108" t="str">
        <f t="shared" si="2"/>
        <v>2016-12</v>
      </c>
      <c r="H108" s="52"/>
      <c r="J108" s="45">
        <v>22.0</v>
      </c>
    </row>
    <row r="109">
      <c r="B109" s="50"/>
      <c r="C109" s="59"/>
      <c r="E109" s="36">
        <v>42751.0</v>
      </c>
      <c r="F109" t="str">
        <f t="shared" si="2"/>
        <v>2017-01</v>
      </c>
      <c r="H109" s="52"/>
      <c r="J109" s="45">
        <v>46.0</v>
      </c>
    </row>
    <row r="110">
      <c r="B110" s="50"/>
      <c r="C110" s="59"/>
      <c r="E110" s="36">
        <v>42752.0</v>
      </c>
      <c r="F110" t="str">
        <f t="shared" si="2"/>
        <v>2017-01</v>
      </c>
      <c r="H110" s="52"/>
      <c r="J110" s="45">
        <v>4.0</v>
      </c>
    </row>
    <row r="111">
      <c r="B111" s="50"/>
      <c r="C111" s="59"/>
      <c r="E111" s="36">
        <v>42790.0</v>
      </c>
      <c r="F111" t="str">
        <f t="shared" si="2"/>
        <v>2017-02</v>
      </c>
      <c r="H111" s="52"/>
      <c r="J111" s="45">
        <v>117.0</v>
      </c>
    </row>
    <row r="112">
      <c r="B112" s="50"/>
      <c r="C112" s="59"/>
      <c r="E112" s="36">
        <v>42791.0</v>
      </c>
      <c r="F112" t="str">
        <f t="shared" si="2"/>
        <v>2017-02</v>
      </c>
      <c r="H112" s="52"/>
      <c r="J112" s="45">
        <v>12.0</v>
      </c>
    </row>
    <row r="113">
      <c r="B113" s="50"/>
      <c r="C113" s="59"/>
      <c r="E113" s="36">
        <v>42792.0</v>
      </c>
      <c r="F113" t="str">
        <f t="shared" si="2"/>
        <v>2017-02</v>
      </c>
      <c r="H113" s="52"/>
      <c r="J113" s="45">
        <v>12.0</v>
      </c>
    </row>
    <row r="114">
      <c r="B114" s="50"/>
      <c r="C114" s="59"/>
      <c r="E114" s="36">
        <v>42792.0</v>
      </c>
      <c r="F114" t="str">
        <f t="shared" si="2"/>
        <v>2017-02</v>
      </c>
      <c r="H114" s="52"/>
      <c r="J114" s="45">
        <v>3.0</v>
      </c>
    </row>
    <row r="115">
      <c r="B115" s="50"/>
      <c r="C115" s="59"/>
      <c r="E115" s="36">
        <v>42803.0</v>
      </c>
      <c r="F115" t="str">
        <f t="shared" si="2"/>
        <v>2017-03</v>
      </c>
      <c r="H115" s="52"/>
      <c r="J115" s="45">
        <v>43.0</v>
      </c>
    </row>
    <row r="116">
      <c r="B116" s="50"/>
      <c r="C116" s="59"/>
      <c r="E116" s="36">
        <v>42807.0</v>
      </c>
      <c r="F116" t="str">
        <f t="shared" si="2"/>
        <v>2017-03</v>
      </c>
      <c r="H116" s="52"/>
      <c r="J116" s="45">
        <v>16.0</v>
      </c>
    </row>
    <row r="117">
      <c r="B117" s="50"/>
      <c r="C117" s="59"/>
      <c r="E117" s="36">
        <v>42807.0</v>
      </c>
      <c r="F117" t="str">
        <f t="shared" si="2"/>
        <v>2017-03</v>
      </c>
      <c r="H117" s="52"/>
      <c r="J117" s="45">
        <v>3.0</v>
      </c>
    </row>
    <row r="118">
      <c r="B118" s="50"/>
      <c r="C118" s="59"/>
      <c r="E118" s="36">
        <v>42818.0</v>
      </c>
      <c r="F118" t="str">
        <f t="shared" si="2"/>
        <v>2017-03</v>
      </c>
      <c r="H118" s="52"/>
      <c r="J118" s="45">
        <v>19.0</v>
      </c>
    </row>
    <row r="119">
      <c r="B119" s="50"/>
      <c r="C119" s="59"/>
      <c r="E119" s="36">
        <v>42821.0</v>
      </c>
      <c r="F119" t="str">
        <f t="shared" si="2"/>
        <v>2017-03</v>
      </c>
      <c r="H119" s="52"/>
      <c r="J119" s="45">
        <v>6.0</v>
      </c>
    </row>
    <row r="120">
      <c r="B120" s="50"/>
      <c r="C120" s="59"/>
      <c r="E120" s="36">
        <v>42851.0</v>
      </c>
      <c r="F120" t="str">
        <f t="shared" si="2"/>
        <v>2017-04</v>
      </c>
      <c r="H120" s="52"/>
      <c r="J120" s="45">
        <v>123.0</v>
      </c>
    </row>
    <row r="121">
      <c r="B121" s="50"/>
      <c r="C121" s="59"/>
      <c r="E121" s="36">
        <v>42852.0</v>
      </c>
      <c r="F121" t="str">
        <f t="shared" si="2"/>
        <v>2017-04</v>
      </c>
      <c r="H121" s="52"/>
      <c r="J121" s="45">
        <v>3.0</v>
      </c>
    </row>
    <row r="122">
      <c r="B122" s="50"/>
      <c r="C122" s="59"/>
      <c r="E122" s="36">
        <v>42857.0</v>
      </c>
      <c r="F122" t="str">
        <f t="shared" si="2"/>
        <v>2017-05</v>
      </c>
      <c r="H122" s="52"/>
      <c r="J122" s="45">
        <v>11.0</v>
      </c>
    </row>
    <row r="123">
      <c r="B123" s="50"/>
      <c r="C123" s="59"/>
      <c r="E123" s="36">
        <v>42857.0</v>
      </c>
      <c r="F123" t="str">
        <f t="shared" si="2"/>
        <v>2017-05</v>
      </c>
      <c r="H123" s="52"/>
      <c r="J123" s="45">
        <v>4.0</v>
      </c>
    </row>
    <row r="124">
      <c r="B124" s="50"/>
      <c r="C124" s="59"/>
      <c r="E124" s="36">
        <v>42864.0</v>
      </c>
      <c r="F124" t="str">
        <f t="shared" si="2"/>
        <v>2017-05</v>
      </c>
      <c r="H124" s="52"/>
      <c r="J124" s="45">
        <v>19.0</v>
      </c>
    </row>
    <row r="125">
      <c r="B125" s="50"/>
      <c r="C125" s="59"/>
      <c r="E125" s="36">
        <v>42894.0</v>
      </c>
      <c r="F125" t="str">
        <f t="shared" si="2"/>
        <v>2017-06</v>
      </c>
      <c r="H125" s="52"/>
      <c r="J125" s="45">
        <v>0.0</v>
      </c>
    </row>
    <row r="126">
      <c r="B126" s="50"/>
      <c r="C126" s="59"/>
      <c r="E126" s="36">
        <v>42929.0</v>
      </c>
      <c r="F126" t="str">
        <f t="shared" si="2"/>
        <v>2017-07</v>
      </c>
      <c r="H126" s="52"/>
      <c r="J126" s="45">
        <v>143.0</v>
      </c>
    </row>
    <row r="127">
      <c r="B127" s="50"/>
      <c r="C127" s="59"/>
      <c r="E127" s="36">
        <v>42929.0</v>
      </c>
      <c r="F127" t="str">
        <f t="shared" si="2"/>
        <v>2017-07</v>
      </c>
      <c r="H127" s="52"/>
      <c r="J127" s="45">
        <v>4.0</v>
      </c>
    </row>
    <row r="128">
      <c r="B128" s="50"/>
      <c r="C128" s="59"/>
      <c r="E128" s="36">
        <v>42937.0</v>
      </c>
      <c r="F128" t="str">
        <f t="shared" si="2"/>
        <v>2017-07</v>
      </c>
      <c r="H128" s="52"/>
      <c r="J128" s="45">
        <v>17.0</v>
      </c>
    </row>
    <row r="129">
      <c r="B129" s="50"/>
      <c r="C129" s="59"/>
      <c r="E129" s="36">
        <v>42991.0</v>
      </c>
      <c r="F129" t="str">
        <f t="shared" si="2"/>
        <v>2017-09</v>
      </c>
      <c r="H129" s="52"/>
      <c r="J129" s="45">
        <v>79.0</v>
      </c>
    </row>
    <row r="130">
      <c r="B130" s="50"/>
      <c r="C130" s="59"/>
      <c r="E130" s="36">
        <v>42992.0</v>
      </c>
      <c r="F130" t="str">
        <f t="shared" si="2"/>
        <v>2017-09</v>
      </c>
      <c r="H130" s="52"/>
      <c r="J130" s="45">
        <v>8.0</v>
      </c>
    </row>
    <row r="131">
      <c r="B131" s="50"/>
      <c r="C131" s="59"/>
      <c r="E131" s="36">
        <v>43021.0</v>
      </c>
      <c r="F131" t="str">
        <f t="shared" si="2"/>
        <v>2017-10</v>
      </c>
      <c r="H131" s="52"/>
      <c r="J131" s="45">
        <v>86.0</v>
      </c>
    </row>
    <row r="132">
      <c r="B132" s="50"/>
      <c r="C132" s="59"/>
      <c r="E132" s="36">
        <v>43021.0</v>
      </c>
      <c r="F132" t="str">
        <f t="shared" si="2"/>
        <v>2017-10</v>
      </c>
      <c r="H132" s="52"/>
      <c r="J132" s="45">
        <v>11.0</v>
      </c>
    </row>
    <row r="133">
      <c r="B133" s="50"/>
      <c r="C133" s="59"/>
      <c r="E133" s="36">
        <v>43021.0</v>
      </c>
      <c r="F133" t="str">
        <f t="shared" si="2"/>
        <v>2017-10</v>
      </c>
      <c r="H133" s="52"/>
      <c r="J133" s="45">
        <v>6.0</v>
      </c>
    </row>
    <row r="134">
      <c r="B134" s="50"/>
      <c r="C134" s="59"/>
      <c r="E134" s="36">
        <v>43042.0</v>
      </c>
      <c r="F134" t="str">
        <f t="shared" si="2"/>
        <v>2017-11</v>
      </c>
      <c r="H134" s="52"/>
      <c r="J134" s="45">
        <v>33.0</v>
      </c>
    </row>
    <row r="135">
      <c r="B135" s="50"/>
      <c r="C135" s="59"/>
      <c r="E135" s="36">
        <v>41616.0</v>
      </c>
      <c r="F135" t="str">
        <f t="shared" si="2"/>
        <v>2013-12</v>
      </c>
      <c r="H135" s="52"/>
      <c r="J135" s="45">
        <v>0.0</v>
      </c>
    </row>
    <row r="136">
      <c r="B136" s="50"/>
      <c r="C136" s="59"/>
      <c r="E136" s="36">
        <v>41717.0</v>
      </c>
      <c r="F136" t="str">
        <f t="shared" si="2"/>
        <v>2014-03</v>
      </c>
      <c r="H136" s="52"/>
      <c r="J136" s="45">
        <v>0.0</v>
      </c>
    </row>
    <row r="137">
      <c r="B137" s="50"/>
      <c r="C137" s="59"/>
      <c r="E137" s="36">
        <v>41909.0</v>
      </c>
      <c r="F137" t="str">
        <f t="shared" si="2"/>
        <v>2014-09</v>
      </c>
      <c r="H137" s="52"/>
      <c r="J137" s="45">
        <v>0.0</v>
      </c>
    </row>
    <row r="138">
      <c r="B138" s="50"/>
      <c r="C138" s="59"/>
      <c r="E138" s="36">
        <v>41919.0</v>
      </c>
      <c r="F138" t="str">
        <f t="shared" si="2"/>
        <v>2014-10</v>
      </c>
      <c r="H138" s="52"/>
      <c r="J138" s="45">
        <v>0.0</v>
      </c>
    </row>
    <row r="139">
      <c r="B139" s="50"/>
      <c r="C139" s="59"/>
      <c r="E139" s="36">
        <v>41936.0</v>
      </c>
      <c r="F139" t="str">
        <f t="shared" si="2"/>
        <v>2014-10</v>
      </c>
      <c r="H139" s="52"/>
      <c r="J139" s="45">
        <v>0.0</v>
      </c>
    </row>
    <row r="140">
      <c r="B140" s="50"/>
      <c r="C140" s="59"/>
      <c r="E140" s="36">
        <v>41950.0</v>
      </c>
      <c r="F140" t="str">
        <f t="shared" si="2"/>
        <v>2014-11</v>
      </c>
      <c r="H140" s="52"/>
      <c r="J140" s="45">
        <v>0.0</v>
      </c>
    </row>
    <row r="141">
      <c r="B141" s="50"/>
      <c r="C141" s="59"/>
      <c r="E141" s="36">
        <v>41974.0</v>
      </c>
      <c r="F141" t="str">
        <f t="shared" si="2"/>
        <v>2014-12</v>
      </c>
      <c r="H141" s="52"/>
      <c r="J141" s="45">
        <v>0.0</v>
      </c>
    </row>
    <row r="142">
      <c r="B142" s="50"/>
      <c r="C142" s="59"/>
      <c r="E142" s="36">
        <v>41975.0</v>
      </c>
      <c r="F142" t="str">
        <f t="shared" si="2"/>
        <v>2014-12</v>
      </c>
      <c r="H142" s="52"/>
      <c r="J142" s="45">
        <v>0.0</v>
      </c>
    </row>
    <row r="143">
      <c r="B143" s="50"/>
      <c r="C143" s="59"/>
      <c r="E143" s="36">
        <v>41975.0</v>
      </c>
      <c r="F143" t="str">
        <f t="shared" si="2"/>
        <v>2014-12</v>
      </c>
      <c r="H143" s="52"/>
      <c r="J143" s="45">
        <v>0.0</v>
      </c>
    </row>
    <row r="144">
      <c r="B144" s="50"/>
      <c r="C144" s="59"/>
      <c r="E144" s="36">
        <v>41980.0</v>
      </c>
      <c r="F144" t="str">
        <f t="shared" si="2"/>
        <v>2014-12</v>
      </c>
      <c r="H144" s="52"/>
      <c r="J144" s="45">
        <v>0.0</v>
      </c>
    </row>
    <row r="145">
      <c r="B145" s="50"/>
      <c r="C145" s="59"/>
      <c r="E145" s="36">
        <v>42040.0</v>
      </c>
      <c r="F145" t="str">
        <f t="shared" si="2"/>
        <v>2015-02</v>
      </c>
      <c r="H145" s="52"/>
      <c r="J145" s="45">
        <v>0.0</v>
      </c>
    </row>
    <row r="146">
      <c r="B146" s="50"/>
      <c r="C146" s="59"/>
      <c r="E146" s="36">
        <v>42112.0</v>
      </c>
      <c r="F146" t="str">
        <f t="shared" si="2"/>
        <v>2015-04</v>
      </c>
      <c r="H146" s="52"/>
      <c r="J146" s="45">
        <v>0.0</v>
      </c>
    </row>
    <row r="147">
      <c r="B147" s="50"/>
      <c r="C147" s="59"/>
      <c r="E147" s="36">
        <v>42115.0</v>
      </c>
      <c r="F147" t="str">
        <f t="shared" si="2"/>
        <v>2015-04</v>
      </c>
      <c r="H147" s="52"/>
      <c r="J147" s="45">
        <v>0.0</v>
      </c>
    </row>
    <row r="148">
      <c r="B148" s="50"/>
      <c r="C148" s="59"/>
      <c r="E148" s="36">
        <v>42115.0</v>
      </c>
      <c r="F148" t="str">
        <f t="shared" si="2"/>
        <v>2015-04</v>
      </c>
      <c r="H148" s="52"/>
      <c r="J148" s="45">
        <v>0.0</v>
      </c>
    </row>
    <row r="149">
      <c r="B149" s="50"/>
      <c r="C149" s="59"/>
      <c r="E149" s="36">
        <v>42130.0</v>
      </c>
      <c r="F149" t="str">
        <f t="shared" si="2"/>
        <v>2015-05</v>
      </c>
      <c r="H149" s="52"/>
      <c r="J149" s="45">
        <v>0.0</v>
      </c>
    </row>
    <row r="150">
      <c r="B150" s="50"/>
      <c r="C150" s="59"/>
      <c r="E150" s="36">
        <v>42131.0</v>
      </c>
      <c r="F150" t="str">
        <f t="shared" si="2"/>
        <v>2015-05</v>
      </c>
      <c r="H150" s="52"/>
      <c r="J150" s="45">
        <v>0.0</v>
      </c>
    </row>
    <row r="151">
      <c r="B151" s="50"/>
      <c r="C151" s="59"/>
      <c r="E151" s="36">
        <v>42140.0</v>
      </c>
      <c r="F151" t="str">
        <f t="shared" si="2"/>
        <v>2015-05</v>
      </c>
      <c r="H151" s="52"/>
      <c r="J151" s="45">
        <v>0.0</v>
      </c>
    </row>
    <row r="152">
      <c r="B152" s="50"/>
      <c r="C152" s="59"/>
      <c r="E152" s="36">
        <v>42146.0</v>
      </c>
      <c r="F152" t="str">
        <f t="shared" si="2"/>
        <v>2015-05</v>
      </c>
      <c r="H152" s="52"/>
      <c r="J152" s="45">
        <v>0.0</v>
      </c>
    </row>
    <row r="153">
      <c r="B153" s="50"/>
      <c r="C153" s="59"/>
      <c r="E153" s="36">
        <v>42150.0</v>
      </c>
      <c r="F153" t="str">
        <f t="shared" si="2"/>
        <v>2015-05</v>
      </c>
      <c r="H153" s="52"/>
      <c r="J153" s="45">
        <v>0.0</v>
      </c>
    </row>
    <row r="154">
      <c r="B154" s="50"/>
      <c r="C154" s="59"/>
      <c r="E154" s="36">
        <v>42154.0</v>
      </c>
      <c r="F154" t="str">
        <f t="shared" si="2"/>
        <v>2015-05</v>
      </c>
      <c r="H154" s="52"/>
      <c r="J154" s="45">
        <v>0.0</v>
      </c>
    </row>
    <row r="155">
      <c r="B155" s="50"/>
      <c r="C155" s="59"/>
      <c r="E155" s="36">
        <v>42167.0</v>
      </c>
      <c r="F155" t="str">
        <f t="shared" si="2"/>
        <v>2015-06</v>
      </c>
      <c r="H155" s="52"/>
      <c r="J155" s="45">
        <v>0.0</v>
      </c>
    </row>
    <row r="156">
      <c r="B156" s="50"/>
      <c r="C156" s="59"/>
      <c r="E156" s="36">
        <v>42156.0</v>
      </c>
      <c r="F156" t="str">
        <f t="shared" si="2"/>
        <v>2015-06</v>
      </c>
      <c r="H156" s="52"/>
      <c r="J156" s="45">
        <v>0.0</v>
      </c>
    </row>
    <row r="157">
      <c r="B157" s="50"/>
      <c r="C157" s="59"/>
      <c r="E157" s="36">
        <v>42159.0</v>
      </c>
      <c r="F157" t="str">
        <f t="shared" si="2"/>
        <v>2015-06</v>
      </c>
      <c r="H157" s="52"/>
      <c r="J157" s="45">
        <v>0.0</v>
      </c>
    </row>
    <row r="158">
      <c r="B158" s="50"/>
      <c r="C158" s="59"/>
      <c r="E158" s="36">
        <v>42167.0</v>
      </c>
      <c r="F158" t="str">
        <f t="shared" si="2"/>
        <v>2015-06</v>
      </c>
      <c r="H158" s="52"/>
      <c r="J158" s="45">
        <v>0.0</v>
      </c>
    </row>
    <row r="159">
      <c r="B159" s="50"/>
      <c r="C159" s="59"/>
      <c r="E159" s="36">
        <v>42169.0</v>
      </c>
      <c r="F159" t="str">
        <f t="shared" si="2"/>
        <v>2015-06</v>
      </c>
      <c r="H159" s="52"/>
      <c r="J159" s="45">
        <v>0.0</v>
      </c>
    </row>
    <row r="160">
      <c r="B160" s="50"/>
      <c r="C160" s="59"/>
      <c r="E160" s="36">
        <v>42171.0</v>
      </c>
      <c r="F160" t="str">
        <f t="shared" si="2"/>
        <v>2015-06</v>
      </c>
      <c r="H160" s="52"/>
      <c r="J160" s="45">
        <v>0.0</v>
      </c>
    </row>
    <row r="161">
      <c r="B161" s="50"/>
      <c r="C161" s="59"/>
      <c r="E161" s="36">
        <v>42171.0</v>
      </c>
      <c r="F161" t="str">
        <f t="shared" si="2"/>
        <v>2015-06</v>
      </c>
      <c r="H161" s="52"/>
      <c r="J161" s="45">
        <v>0.0</v>
      </c>
    </row>
    <row r="162">
      <c r="B162" s="50"/>
      <c r="C162" s="59"/>
      <c r="E162" s="36">
        <v>42169.0</v>
      </c>
      <c r="F162" t="str">
        <f t="shared" si="2"/>
        <v>2015-06</v>
      </c>
      <c r="H162" s="52"/>
      <c r="J162" s="45">
        <v>0.0</v>
      </c>
    </row>
    <row r="163">
      <c r="B163" s="50"/>
      <c r="C163" s="59"/>
      <c r="E163" s="36">
        <v>42180.0</v>
      </c>
      <c r="F163" t="str">
        <f t="shared" si="2"/>
        <v>2015-06</v>
      </c>
      <c r="H163" s="52"/>
      <c r="J163" s="45">
        <v>0.0</v>
      </c>
    </row>
    <row r="164">
      <c r="B164" s="50"/>
      <c r="C164" s="59"/>
      <c r="E164" s="36">
        <v>42180.0</v>
      </c>
      <c r="F164" t="str">
        <f t="shared" si="2"/>
        <v>2015-06</v>
      </c>
      <c r="H164" s="52"/>
      <c r="J164" s="45">
        <v>0.0</v>
      </c>
    </row>
    <row r="165">
      <c r="B165" s="50"/>
      <c r="C165" s="59"/>
      <c r="E165" s="36">
        <v>42180.0</v>
      </c>
      <c r="F165" t="str">
        <f t="shared" si="2"/>
        <v>2015-06</v>
      </c>
      <c r="H165" s="52"/>
      <c r="J165" s="45">
        <v>0.0</v>
      </c>
    </row>
    <row r="166">
      <c r="B166" s="50"/>
      <c r="C166" s="59"/>
      <c r="E166" s="36">
        <v>42187.0</v>
      </c>
      <c r="F166" t="str">
        <f t="shared" si="2"/>
        <v>2015-07</v>
      </c>
      <c r="H166" s="52"/>
      <c r="J166" s="45">
        <v>0.0</v>
      </c>
    </row>
    <row r="167">
      <c r="B167" s="50"/>
      <c r="C167" s="59"/>
      <c r="E167" s="36">
        <v>42190.0</v>
      </c>
      <c r="F167" t="str">
        <f t="shared" si="2"/>
        <v>2015-07</v>
      </c>
      <c r="H167" s="52"/>
      <c r="J167" s="45">
        <v>0.0</v>
      </c>
    </row>
    <row r="168">
      <c r="B168" s="50"/>
      <c r="C168" s="59"/>
      <c r="E168" s="36">
        <v>42190.0</v>
      </c>
      <c r="F168" t="str">
        <f t="shared" si="2"/>
        <v>2015-07</v>
      </c>
      <c r="H168" s="52"/>
      <c r="J168" s="45">
        <v>0.0</v>
      </c>
    </row>
    <row r="169">
      <c r="B169" s="50"/>
      <c r="C169" s="59"/>
      <c r="E169" s="36">
        <v>42192.0</v>
      </c>
      <c r="F169" t="str">
        <f t="shared" si="2"/>
        <v>2015-07</v>
      </c>
      <c r="H169" s="52"/>
      <c r="J169" s="45">
        <v>0.0</v>
      </c>
    </row>
    <row r="170">
      <c r="B170" s="50"/>
      <c r="C170" s="59"/>
      <c r="E170" s="36">
        <v>42192.0</v>
      </c>
      <c r="F170" t="str">
        <f t="shared" si="2"/>
        <v>2015-07</v>
      </c>
      <c r="H170" s="52"/>
      <c r="J170" s="45">
        <v>0.0</v>
      </c>
    </row>
    <row r="171">
      <c r="B171" s="50"/>
      <c r="C171" s="59"/>
      <c r="E171" s="36">
        <v>42208.0</v>
      </c>
      <c r="F171" t="str">
        <f t="shared" si="2"/>
        <v>2015-07</v>
      </c>
      <c r="H171" s="52"/>
      <c r="J171" s="45">
        <v>0.0</v>
      </c>
    </row>
    <row r="172">
      <c r="B172" s="50"/>
      <c r="C172" s="59"/>
      <c r="E172" s="36">
        <v>42208.0</v>
      </c>
      <c r="F172" t="str">
        <f t="shared" si="2"/>
        <v>2015-07</v>
      </c>
      <c r="H172" s="52"/>
      <c r="J172" s="45">
        <v>0.0</v>
      </c>
    </row>
    <row r="173">
      <c r="B173" s="50"/>
      <c r="C173" s="59"/>
      <c r="E173" s="36">
        <v>42216.0</v>
      </c>
      <c r="F173" t="str">
        <f t="shared" si="2"/>
        <v>2015-07</v>
      </c>
      <c r="H173" s="52"/>
      <c r="J173" s="45">
        <v>0.0</v>
      </c>
    </row>
    <row r="174">
      <c r="B174" s="50"/>
      <c r="C174" s="59"/>
      <c r="E174" s="36">
        <v>42216.0</v>
      </c>
      <c r="F174" t="str">
        <f t="shared" si="2"/>
        <v>2015-07</v>
      </c>
      <c r="H174" s="52"/>
      <c r="J174" s="45">
        <v>0.0</v>
      </c>
    </row>
    <row r="175">
      <c r="B175" s="50"/>
      <c r="C175" s="59"/>
      <c r="E175" s="36">
        <v>42226.0</v>
      </c>
      <c r="F175" t="str">
        <f t="shared" si="2"/>
        <v>2015-08</v>
      </c>
      <c r="H175" s="52"/>
      <c r="J175" s="45">
        <v>0.0</v>
      </c>
    </row>
    <row r="176">
      <c r="B176" s="50"/>
      <c r="C176" s="59"/>
      <c r="E176" s="36">
        <v>42226.0</v>
      </c>
      <c r="F176" t="str">
        <f t="shared" si="2"/>
        <v>2015-08</v>
      </c>
      <c r="H176" s="52"/>
      <c r="J176" s="45">
        <v>0.0</v>
      </c>
    </row>
    <row r="177">
      <c r="B177" s="50"/>
      <c r="C177" s="59"/>
      <c r="E177" s="36">
        <v>42241.0</v>
      </c>
      <c r="F177" t="str">
        <f t="shared" si="2"/>
        <v>2015-08</v>
      </c>
      <c r="H177" s="52"/>
      <c r="J177" s="45">
        <v>0.0</v>
      </c>
    </row>
    <row r="178">
      <c r="B178" s="50"/>
      <c r="C178" s="59"/>
      <c r="E178" s="36">
        <v>42241.0</v>
      </c>
      <c r="F178" t="str">
        <f t="shared" si="2"/>
        <v>2015-08</v>
      </c>
      <c r="H178" s="52"/>
      <c r="J178" s="45">
        <v>0.0</v>
      </c>
    </row>
    <row r="179">
      <c r="B179" s="50"/>
      <c r="C179" s="59"/>
      <c r="E179" s="36">
        <v>42242.0</v>
      </c>
      <c r="F179" t="str">
        <f t="shared" si="2"/>
        <v>2015-08</v>
      </c>
      <c r="H179" s="52"/>
      <c r="J179" s="45">
        <v>0.0</v>
      </c>
    </row>
    <row r="180">
      <c r="B180" s="50"/>
      <c r="C180" s="59"/>
      <c r="E180" s="36">
        <v>42242.0</v>
      </c>
      <c r="F180" t="str">
        <f t="shared" si="2"/>
        <v>2015-08</v>
      </c>
      <c r="H180" s="52"/>
      <c r="J180" s="45">
        <v>0.0</v>
      </c>
    </row>
    <row r="181">
      <c r="B181" s="50"/>
      <c r="C181" s="59"/>
      <c r="E181" s="36">
        <v>42254.0</v>
      </c>
      <c r="F181" t="str">
        <f t="shared" si="2"/>
        <v>2015-09</v>
      </c>
      <c r="H181" s="52"/>
      <c r="J181" s="45">
        <v>0.0</v>
      </c>
    </row>
    <row r="182">
      <c r="B182" s="50"/>
      <c r="C182" s="59"/>
      <c r="E182" s="36">
        <v>42258.0</v>
      </c>
      <c r="F182" t="str">
        <f t="shared" si="2"/>
        <v>2015-09</v>
      </c>
      <c r="H182" s="52"/>
      <c r="J182" s="45">
        <v>0.0</v>
      </c>
    </row>
    <row r="183">
      <c r="B183" s="50"/>
      <c r="C183" s="59"/>
      <c r="E183" s="36">
        <v>42258.0</v>
      </c>
      <c r="F183" t="str">
        <f t="shared" si="2"/>
        <v>2015-09</v>
      </c>
      <c r="H183" s="52"/>
      <c r="J183" s="45">
        <v>0.0</v>
      </c>
    </row>
    <row r="184">
      <c r="B184" s="50"/>
      <c r="C184" s="59"/>
      <c r="E184" s="36">
        <v>42266.0</v>
      </c>
      <c r="F184" t="str">
        <f t="shared" si="2"/>
        <v>2015-09</v>
      </c>
      <c r="H184" s="52"/>
      <c r="J184" s="45">
        <v>0.0</v>
      </c>
    </row>
    <row r="185">
      <c r="B185" s="50"/>
      <c r="C185" s="59"/>
      <c r="E185" s="36">
        <v>42266.0</v>
      </c>
      <c r="F185" t="str">
        <f t="shared" si="2"/>
        <v>2015-09</v>
      </c>
      <c r="H185" s="52"/>
      <c r="J185" s="45">
        <v>0.0</v>
      </c>
    </row>
    <row r="186">
      <c r="B186" s="50"/>
      <c r="C186" s="59"/>
      <c r="E186" s="36">
        <v>42272.0</v>
      </c>
      <c r="F186" t="str">
        <f t="shared" si="2"/>
        <v>2015-09</v>
      </c>
      <c r="H186" s="52"/>
      <c r="J186" s="45">
        <v>0.0</v>
      </c>
    </row>
    <row r="187">
      <c r="B187" s="50"/>
      <c r="C187" s="59"/>
      <c r="E187" s="36">
        <v>42272.0</v>
      </c>
      <c r="F187" t="str">
        <f t="shared" si="2"/>
        <v>2015-09</v>
      </c>
      <c r="H187" s="52"/>
      <c r="J187" s="45">
        <v>0.0</v>
      </c>
    </row>
    <row r="188">
      <c r="B188" s="50"/>
      <c r="C188" s="59"/>
      <c r="E188" s="36">
        <v>42247.0</v>
      </c>
      <c r="F188" t="str">
        <f t="shared" si="2"/>
        <v>2015-08</v>
      </c>
      <c r="H188" s="52"/>
      <c r="J188" s="45">
        <v>0.0</v>
      </c>
    </row>
    <row r="189">
      <c r="B189" s="50"/>
      <c r="C189" s="59"/>
      <c r="E189" s="36">
        <v>42248.0</v>
      </c>
      <c r="F189" t="str">
        <f t="shared" si="2"/>
        <v>2015-09</v>
      </c>
      <c r="H189" s="52"/>
      <c r="J189" s="45">
        <v>0.0</v>
      </c>
    </row>
    <row r="190">
      <c r="B190" s="50"/>
      <c r="C190" s="59"/>
      <c r="E190" s="36">
        <v>42254.0</v>
      </c>
      <c r="F190" t="str">
        <f t="shared" si="2"/>
        <v>2015-09</v>
      </c>
      <c r="H190" s="52"/>
      <c r="J190" s="45">
        <v>0.0</v>
      </c>
    </row>
    <row r="191">
      <c r="B191" s="50"/>
      <c r="C191" s="59"/>
      <c r="E191" s="36">
        <v>42258.0</v>
      </c>
      <c r="F191" t="str">
        <f t="shared" si="2"/>
        <v>2015-09</v>
      </c>
      <c r="H191" s="52"/>
      <c r="J191" s="45">
        <v>0.0</v>
      </c>
    </row>
    <row r="192">
      <c r="B192" s="50"/>
      <c r="C192" s="59"/>
      <c r="E192" s="36">
        <v>42266.0</v>
      </c>
      <c r="F192" t="str">
        <f t="shared" si="2"/>
        <v>2015-09</v>
      </c>
      <c r="H192" s="52"/>
      <c r="J192" s="45">
        <v>0.0</v>
      </c>
    </row>
    <row r="193">
      <c r="B193" s="50"/>
      <c r="C193" s="59"/>
      <c r="E193" s="36">
        <v>42272.0</v>
      </c>
      <c r="F193" t="str">
        <f t="shared" si="2"/>
        <v>2015-09</v>
      </c>
      <c r="H193" s="52"/>
      <c r="J193" s="45">
        <v>0.0</v>
      </c>
    </row>
    <row r="194">
      <c r="B194" s="50"/>
      <c r="C194" s="59"/>
      <c r="E194" s="36">
        <v>42279.0</v>
      </c>
      <c r="F194" t="str">
        <f t="shared" si="2"/>
        <v>2015-10</v>
      </c>
      <c r="H194" s="52"/>
      <c r="J194" s="45">
        <v>0.0</v>
      </c>
    </row>
    <row r="195">
      <c r="B195" s="50"/>
      <c r="C195" s="59"/>
      <c r="E195" s="36">
        <v>42288.0</v>
      </c>
      <c r="F195" t="str">
        <f t="shared" si="2"/>
        <v>2015-10</v>
      </c>
      <c r="H195" s="52"/>
      <c r="J195" s="45">
        <v>0.0</v>
      </c>
    </row>
    <row r="196">
      <c r="B196" s="50"/>
      <c r="C196" s="59"/>
      <c r="E196" s="36">
        <v>42268.0</v>
      </c>
      <c r="F196" t="str">
        <f t="shared" si="2"/>
        <v>2015-09</v>
      </c>
      <c r="H196" s="52"/>
      <c r="J196" s="45">
        <v>0.0</v>
      </c>
    </row>
    <row r="197">
      <c r="B197" s="50"/>
      <c r="C197" s="59"/>
      <c r="E197" s="36">
        <v>42272.0</v>
      </c>
      <c r="F197" t="str">
        <f t="shared" si="2"/>
        <v>2015-09</v>
      </c>
      <c r="H197" s="52"/>
      <c r="J197" s="45">
        <v>0.0</v>
      </c>
    </row>
    <row r="198">
      <c r="B198" s="50"/>
      <c r="C198" s="59"/>
      <c r="E198" s="36">
        <v>42279.0</v>
      </c>
      <c r="F198" t="str">
        <f t="shared" si="2"/>
        <v>2015-10</v>
      </c>
      <c r="H198" s="52"/>
      <c r="J198" s="45">
        <v>0.0</v>
      </c>
    </row>
    <row r="199">
      <c r="B199" s="50"/>
      <c r="C199" s="59"/>
      <c r="E199" s="36">
        <v>42288.0</v>
      </c>
      <c r="F199" t="str">
        <f t="shared" si="2"/>
        <v>2015-10</v>
      </c>
      <c r="H199" s="52"/>
      <c r="J199" s="45">
        <v>0.0</v>
      </c>
    </row>
    <row r="200">
      <c r="B200" s="50"/>
      <c r="C200" s="59"/>
      <c r="E200" s="36">
        <v>42304.0</v>
      </c>
      <c r="F200" t="str">
        <f t="shared" si="2"/>
        <v>2015-10</v>
      </c>
      <c r="H200" s="52"/>
      <c r="J200" s="45">
        <v>0.0</v>
      </c>
    </row>
    <row r="201">
      <c r="B201" s="50"/>
      <c r="C201" s="59"/>
      <c r="E201" s="36">
        <v>42304.0</v>
      </c>
      <c r="F201" t="str">
        <f t="shared" si="2"/>
        <v>2015-10</v>
      </c>
      <c r="H201" s="52"/>
      <c r="J201" s="45">
        <v>0.0</v>
      </c>
    </row>
    <row r="202">
      <c r="B202" s="50"/>
      <c r="C202" s="59"/>
      <c r="E202" s="36">
        <v>42292.0</v>
      </c>
      <c r="F202" t="str">
        <f t="shared" si="2"/>
        <v>2015-10</v>
      </c>
      <c r="H202" s="52"/>
      <c r="J202" s="45">
        <v>0.0</v>
      </c>
    </row>
    <row r="203">
      <c r="B203" s="50"/>
      <c r="C203" s="59"/>
      <c r="E203" s="36">
        <v>42300.0</v>
      </c>
      <c r="F203" t="str">
        <f t="shared" si="2"/>
        <v>2015-10</v>
      </c>
      <c r="H203" s="52"/>
      <c r="J203" s="45">
        <v>0.0</v>
      </c>
    </row>
    <row r="204">
      <c r="B204" s="50"/>
      <c r="C204" s="59"/>
      <c r="E204" s="36">
        <v>42300.0</v>
      </c>
      <c r="F204" t="str">
        <f t="shared" si="2"/>
        <v>2015-10</v>
      </c>
      <c r="H204" s="52"/>
      <c r="J204" s="45">
        <v>0.0</v>
      </c>
    </row>
    <row r="205">
      <c r="B205" s="50"/>
      <c r="C205" s="59"/>
      <c r="E205" s="36">
        <v>42304.0</v>
      </c>
      <c r="F205" t="str">
        <f t="shared" si="2"/>
        <v>2015-10</v>
      </c>
      <c r="H205" s="52"/>
      <c r="J205" s="45">
        <v>0.0</v>
      </c>
    </row>
    <row r="206">
      <c r="B206" s="50"/>
      <c r="C206" s="59"/>
      <c r="E206" s="36">
        <v>42304.0</v>
      </c>
      <c r="F206" t="str">
        <f t="shared" si="2"/>
        <v>2015-10</v>
      </c>
      <c r="H206" s="52"/>
      <c r="J206" s="45">
        <v>0.0</v>
      </c>
    </row>
    <row r="207">
      <c r="B207" s="50"/>
      <c r="C207" s="59"/>
      <c r="E207" s="36">
        <v>42306.0</v>
      </c>
      <c r="F207" t="str">
        <f t="shared" si="2"/>
        <v>2015-10</v>
      </c>
      <c r="H207" s="52"/>
      <c r="J207" s="45">
        <v>0.0</v>
      </c>
    </row>
    <row r="208">
      <c r="B208" s="50"/>
      <c r="C208" s="59"/>
      <c r="E208" s="36">
        <v>42306.0</v>
      </c>
      <c r="F208" t="str">
        <f t="shared" si="2"/>
        <v>2015-10</v>
      </c>
      <c r="H208" s="52"/>
      <c r="J208" s="45">
        <v>0.0</v>
      </c>
    </row>
    <row r="209">
      <c r="B209" s="50"/>
      <c r="C209" s="59"/>
      <c r="E209" s="36">
        <v>42308.0</v>
      </c>
      <c r="F209" t="str">
        <f t="shared" si="2"/>
        <v>2015-10</v>
      </c>
      <c r="H209" s="52"/>
      <c r="J209" s="45">
        <v>0.0</v>
      </c>
    </row>
    <row r="210">
      <c r="B210" s="50"/>
      <c r="C210" s="59"/>
      <c r="E210" s="36">
        <v>42313.0</v>
      </c>
      <c r="F210" t="str">
        <f t="shared" si="2"/>
        <v>2015-11</v>
      </c>
      <c r="H210" s="52"/>
      <c r="J210" s="45">
        <v>0.0</v>
      </c>
    </row>
    <row r="211">
      <c r="B211" s="50"/>
      <c r="C211" s="59"/>
      <c r="E211" s="36">
        <v>42313.0</v>
      </c>
      <c r="F211" t="str">
        <f t="shared" si="2"/>
        <v>2015-11</v>
      </c>
      <c r="H211" s="52"/>
      <c r="J211" s="45">
        <v>0.0</v>
      </c>
    </row>
    <row r="212">
      <c r="B212" s="50"/>
      <c r="C212" s="59"/>
      <c r="E212" s="36">
        <v>42314.0</v>
      </c>
      <c r="F212" t="str">
        <f t="shared" si="2"/>
        <v>2015-11</v>
      </c>
      <c r="H212" s="52"/>
      <c r="J212" s="45">
        <v>0.0</v>
      </c>
    </row>
    <row r="213">
      <c r="B213" s="50"/>
      <c r="C213" s="59"/>
      <c r="E213" s="36">
        <v>42320.0</v>
      </c>
      <c r="F213" t="str">
        <f t="shared" si="2"/>
        <v>2015-11</v>
      </c>
      <c r="H213" s="52"/>
      <c r="J213" s="45">
        <v>0.0</v>
      </c>
    </row>
    <row r="214">
      <c r="B214" s="50"/>
      <c r="C214" s="59"/>
      <c r="E214" s="36">
        <v>42331.0</v>
      </c>
      <c r="F214" t="str">
        <f t="shared" si="2"/>
        <v>2015-11</v>
      </c>
      <c r="H214" s="52"/>
      <c r="J214" s="45">
        <v>0.0</v>
      </c>
    </row>
    <row r="215">
      <c r="B215" s="50"/>
      <c r="C215" s="59"/>
      <c r="H215" s="52"/>
    </row>
    <row r="216">
      <c r="B216" s="50"/>
      <c r="C216" s="59"/>
      <c r="H216" s="52"/>
    </row>
    <row r="217">
      <c r="B217" s="50"/>
      <c r="C217" s="59"/>
      <c r="H217" s="52"/>
    </row>
    <row r="218">
      <c r="B218" s="50"/>
      <c r="C218" s="59"/>
      <c r="H218" s="52"/>
    </row>
    <row r="219">
      <c r="B219" s="50"/>
      <c r="C219" s="59"/>
      <c r="H219" s="52"/>
    </row>
    <row r="220">
      <c r="B220" s="50"/>
      <c r="C220" s="59"/>
      <c r="H220" s="52"/>
    </row>
    <row r="221">
      <c r="B221" s="50"/>
      <c r="C221" s="59"/>
      <c r="H221" s="52"/>
    </row>
    <row r="222">
      <c r="B222" s="50"/>
      <c r="C222" s="59"/>
      <c r="H222" s="52"/>
    </row>
    <row r="223">
      <c r="B223" s="50"/>
      <c r="C223" s="59"/>
      <c r="H223" s="52"/>
    </row>
    <row r="224">
      <c r="B224" s="50"/>
      <c r="C224" s="59"/>
      <c r="H224" s="52"/>
    </row>
    <row r="225">
      <c r="B225" s="50"/>
      <c r="C225" s="59"/>
      <c r="H225" s="52"/>
    </row>
    <row r="226">
      <c r="B226" s="50"/>
      <c r="C226" s="59"/>
      <c r="H226" s="52"/>
    </row>
    <row r="227">
      <c r="B227" s="50"/>
      <c r="C227" s="59"/>
      <c r="H227" s="52"/>
    </row>
    <row r="228">
      <c r="B228" s="50"/>
      <c r="C228" s="59"/>
      <c r="H228" s="52"/>
    </row>
    <row r="229">
      <c r="B229" s="50"/>
      <c r="C229" s="59"/>
      <c r="H229" s="52"/>
    </row>
    <row r="230">
      <c r="B230" s="50"/>
      <c r="C230" s="59"/>
      <c r="H230" s="52"/>
    </row>
    <row r="231">
      <c r="B231" s="50"/>
      <c r="C231" s="59"/>
      <c r="H231" s="52"/>
    </row>
    <row r="232">
      <c r="B232" s="50"/>
      <c r="C232" s="59"/>
      <c r="H232" s="52"/>
    </row>
    <row r="233">
      <c r="B233" s="50"/>
      <c r="C233" s="59"/>
      <c r="H233" s="52"/>
    </row>
    <row r="234">
      <c r="B234" s="50"/>
      <c r="C234" s="59"/>
      <c r="H234" s="52"/>
    </row>
    <row r="235">
      <c r="B235" s="50"/>
      <c r="C235" s="59"/>
      <c r="H235" s="52"/>
    </row>
    <row r="236">
      <c r="B236" s="50"/>
      <c r="C236" s="59"/>
      <c r="H236" s="52"/>
    </row>
    <row r="237">
      <c r="B237" s="50"/>
      <c r="C237" s="59"/>
      <c r="H237" s="52"/>
    </row>
    <row r="238">
      <c r="B238" s="50"/>
      <c r="C238" s="59"/>
      <c r="H238" s="52"/>
    </row>
    <row r="239">
      <c r="B239" s="50"/>
      <c r="C239" s="59"/>
      <c r="H239" s="52"/>
    </row>
    <row r="240">
      <c r="B240" s="50"/>
      <c r="C240" s="59"/>
      <c r="H240" s="52"/>
    </row>
    <row r="241">
      <c r="B241" s="50"/>
      <c r="C241" s="59"/>
      <c r="H241" s="52"/>
    </row>
    <row r="242">
      <c r="B242" s="50"/>
      <c r="C242" s="59"/>
      <c r="H242" s="52"/>
    </row>
    <row r="243">
      <c r="B243" s="50"/>
      <c r="C243" s="59"/>
      <c r="H243" s="52"/>
    </row>
    <row r="244">
      <c r="B244" s="50"/>
      <c r="C244" s="59"/>
      <c r="H244" s="52"/>
    </row>
    <row r="245">
      <c r="B245" s="50"/>
      <c r="C245" s="59"/>
      <c r="H245" s="52"/>
    </row>
    <row r="246">
      <c r="B246" s="50"/>
      <c r="C246" s="59"/>
      <c r="H246" s="52"/>
    </row>
    <row r="247">
      <c r="B247" s="50"/>
      <c r="C247" s="59"/>
      <c r="H247" s="52"/>
    </row>
    <row r="248">
      <c r="B248" s="50"/>
      <c r="C248" s="59"/>
      <c r="H248" s="52"/>
    </row>
    <row r="249">
      <c r="B249" s="50"/>
      <c r="C249" s="59"/>
      <c r="H249" s="52"/>
    </row>
    <row r="250">
      <c r="B250" s="50"/>
      <c r="C250" s="59"/>
      <c r="H250" s="52"/>
    </row>
    <row r="251">
      <c r="B251" s="50"/>
      <c r="C251" s="59"/>
      <c r="H251" s="52"/>
    </row>
    <row r="252">
      <c r="B252" s="50"/>
      <c r="C252" s="59"/>
      <c r="H252" s="52"/>
    </row>
    <row r="253">
      <c r="B253" s="50"/>
      <c r="C253" s="59"/>
      <c r="H253" s="52"/>
    </row>
    <row r="254">
      <c r="B254" s="50"/>
      <c r="C254" s="59"/>
      <c r="H254" s="52"/>
    </row>
    <row r="255">
      <c r="B255" s="50"/>
      <c r="C255" s="59"/>
      <c r="H255" s="52"/>
    </row>
    <row r="256">
      <c r="B256" s="50"/>
      <c r="C256" s="59"/>
      <c r="H256" s="52"/>
    </row>
    <row r="257">
      <c r="B257" s="50"/>
      <c r="C257" s="59"/>
      <c r="H257" s="52"/>
    </row>
    <row r="258">
      <c r="B258" s="50"/>
      <c r="C258" s="59"/>
      <c r="H258" s="52"/>
    </row>
    <row r="259">
      <c r="B259" s="50"/>
      <c r="C259" s="59"/>
      <c r="H259" s="52"/>
    </row>
    <row r="260">
      <c r="B260" s="50"/>
      <c r="C260" s="59"/>
      <c r="H260" s="52"/>
    </row>
    <row r="261">
      <c r="B261" s="50"/>
      <c r="C261" s="59"/>
      <c r="H261" s="52"/>
    </row>
    <row r="262">
      <c r="B262" s="50"/>
      <c r="C262" s="59"/>
      <c r="H262" s="52"/>
    </row>
    <row r="263">
      <c r="B263" s="50"/>
      <c r="C263" s="59"/>
      <c r="H263" s="52"/>
    </row>
    <row r="264">
      <c r="B264" s="50"/>
      <c r="C264" s="59"/>
      <c r="H264" s="52"/>
    </row>
    <row r="265">
      <c r="B265" s="50"/>
      <c r="C265" s="59"/>
      <c r="H265" s="52"/>
    </row>
    <row r="266">
      <c r="B266" s="50"/>
      <c r="C266" s="59"/>
      <c r="H266" s="52"/>
    </row>
    <row r="267">
      <c r="B267" s="50"/>
      <c r="C267" s="59"/>
      <c r="H267" s="52"/>
    </row>
    <row r="268">
      <c r="B268" s="50"/>
      <c r="C268" s="59"/>
      <c r="H268" s="52"/>
    </row>
    <row r="269">
      <c r="B269" s="50"/>
      <c r="C269" s="59"/>
      <c r="H269" s="52"/>
    </row>
    <row r="270">
      <c r="B270" s="50"/>
      <c r="C270" s="59"/>
      <c r="H270" s="52"/>
    </row>
    <row r="271">
      <c r="B271" s="50"/>
      <c r="C271" s="59"/>
      <c r="H271" s="52"/>
    </row>
    <row r="272">
      <c r="B272" s="50"/>
      <c r="C272" s="59"/>
      <c r="H272" s="52"/>
    </row>
    <row r="273">
      <c r="B273" s="50"/>
      <c r="C273" s="59"/>
      <c r="H273" s="52"/>
    </row>
    <row r="274">
      <c r="B274" s="50"/>
      <c r="C274" s="59"/>
      <c r="H274" s="52"/>
    </row>
    <row r="275">
      <c r="B275" s="50"/>
      <c r="C275" s="59"/>
      <c r="H275" s="52"/>
    </row>
    <row r="276">
      <c r="B276" s="50"/>
      <c r="C276" s="59"/>
      <c r="H276" s="52"/>
    </row>
    <row r="277">
      <c r="B277" s="50"/>
      <c r="C277" s="59"/>
      <c r="H277" s="52"/>
    </row>
    <row r="278">
      <c r="B278" s="50"/>
      <c r="C278" s="59"/>
      <c r="H278" s="52"/>
    </row>
    <row r="279">
      <c r="B279" s="50"/>
      <c r="C279" s="59"/>
      <c r="H279" s="52"/>
    </row>
    <row r="280">
      <c r="B280" s="50"/>
      <c r="C280" s="59"/>
      <c r="H280" s="52"/>
    </row>
    <row r="281">
      <c r="B281" s="50"/>
      <c r="C281" s="59"/>
      <c r="H281" s="52"/>
    </row>
    <row r="282">
      <c r="B282" s="50"/>
      <c r="C282" s="59"/>
      <c r="H282" s="52"/>
    </row>
    <row r="283">
      <c r="B283" s="50"/>
      <c r="C283" s="59"/>
      <c r="H283" s="52"/>
    </row>
    <row r="284">
      <c r="B284" s="50"/>
      <c r="C284" s="59"/>
      <c r="H284" s="52"/>
    </row>
    <row r="285">
      <c r="B285" s="50"/>
      <c r="C285" s="59"/>
      <c r="H285" s="52"/>
    </row>
    <row r="286">
      <c r="B286" s="50"/>
      <c r="C286" s="59"/>
      <c r="H286" s="52"/>
    </row>
    <row r="287">
      <c r="B287" s="50"/>
      <c r="C287" s="59"/>
      <c r="H287" s="52"/>
    </row>
    <row r="288">
      <c r="B288" s="50"/>
      <c r="C288" s="59"/>
      <c r="H288" s="52"/>
    </row>
    <row r="289">
      <c r="B289" s="50"/>
      <c r="C289" s="59"/>
      <c r="H289" s="52"/>
    </row>
    <row r="290">
      <c r="B290" s="50"/>
      <c r="C290" s="59"/>
      <c r="H290" s="52"/>
    </row>
    <row r="291">
      <c r="B291" s="50"/>
      <c r="C291" s="59"/>
      <c r="H291" s="52"/>
    </row>
    <row r="292">
      <c r="B292" s="50"/>
      <c r="C292" s="59"/>
      <c r="H292" s="52"/>
    </row>
    <row r="293">
      <c r="B293" s="50"/>
      <c r="C293" s="59"/>
      <c r="H293" s="52"/>
    </row>
    <row r="294">
      <c r="B294" s="50"/>
      <c r="C294" s="59"/>
      <c r="H294" s="52"/>
    </row>
    <row r="295">
      <c r="B295" s="50"/>
      <c r="C295" s="59"/>
      <c r="H295" s="52"/>
    </row>
    <row r="296">
      <c r="B296" s="50"/>
      <c r="C296" s="59"/>
      <c r="H296" s="52"/>
    </row>
    <row r="297">
      <c r="B297" s="50"/>
      <c r="C297" s="59"/>
      <c r="H297" s="52"/>
    </row>
    <row r="298">
      <c r="B298" s="50"/>
      <c r="C298" s="59"/>
      <c r="H298" s="52"/>
    </row>
    <row r="299">
      <c r="B299" s="50"/>
      <c r="C299" s="59"/>
      <c r="H299" s="52"/>
    </row>
    <row r="300">
      <c r="B300" s="50"/>
      <c r="C300" s="59"/>
      <c r="H300" s="52"/>
    </row>
    <row r="301">
      <c r="B301" s="50"/>
      <c r="C301" s="59"/>
      <c r="H301" s="52"/>
    </row>
    <row r="302">
      <c r="B302" s="50"/>
      <c r="C302" s="59"/>
      <c r="H302" s="52"/>
    </row>
    <row r="303">
      <c r="B303" s="50"/>
      <c r="C303" s="59"/>
      <c r="H303" s="52"/>
    </row>
    <row r="304">
      <c r="B304" s="50"/>
      <c r="C304" s="59"/>
      <c r="H304" s="52"/>
    </row>
    <row r="305">
      <c r="B305" s="50"/>
      <c r="C305" s="59"/>
      <c r="H305" s="52"/>
    </row>
    <row r="306">
      <c r="B306" s="50"/>
      <c r="C306" s="59"/>
      <c r="H306" s="52"/>
    </row>
    <row r="307">
      <c r="B307" s="50"/>
      <c r="C307" s="59"/>
      <c r="H307" s="52"/>
    </row>
    <row r="308">
      <c r="B308" s="50"/>
      <c r="C308" s="59"/>
      <c r="H308" s="52"/>
    </row>
    <row r="309">
      <c r="B309" s="50"/>
      <c r="C309" s="59"/>
      <c r="H309" s="52"/>
    </row>
    <row r="310">
      <c r="B310" s="50"/>
      <c r="C310" s="59"/>
      <c r="H310" s="52"/>
    </row>
    <row r="311">
      <c r="B311" s="50"/>
      <c r="C311" s="59"/>
      <c r="H311" s="52"/>
    </row>
    <row r="312">
      <c r="B312" s="50"/>
      <c r="C312" s="59"/>
      <c r="H312" s="52"/>
    </row>
    <row r="313">
      <c r="B313" s="50"/>
      <c r="C313" s="59"/>
      <c r="H313" s="52"/>
    </row>
    <row r="314">
      <c r="B314" s="50"/>
      <c r="C314" s="59"/>
      <c r="H314" s="52"/>
    </row>
    <row r="315">
      <c r="B315" s="50"/>
      <c r="C315" s="59"/>
      <c r="H315" s="52"/>
    </row>
    <row r="316">
      <c r="B316" s="50"/>
      <c r="C316" s="59"/>
      <c r="H316" s="52"/>
    </row>
    <row r="317">
      <c r="B317" s="50"/>
      <c r="C317" s="59"/>
      <c r="H317" s="52"/>
    </row>
    <row r="318">
      <c r="B318" s="50"/>
      <c r="C318" s="59"/>
      <c r="H318" s="52"/>
    </row>
    <row r="319">
      <c r="B319" s="50"/>
      <c r="C319" s="59"/>
      <c r="H319" s="52"/>
    </row>
    <row r="320">
      <c r="B320" s="50"/>
      <c r="C320" s="59"/>
      <c r="H320" s="52"/>
    </row>
    <row r="321">
      <c r="B321" s="50"/>
      <c r="C321" s="59"/>
      <c r="H321" s="52"/>
    </row>
    <row r="322">
      <c r="B322" s="50"/>
      <c r="C322" s="59"/>
      <c r="H322" s="52"/>
    </row>
    <row r="323">
      <c r="B323" s="50"/>
      <c r="C323" s="59"/>
      <c r="H323" s="52"/>
    </row>
    <row r="324">
      <c r="B324" s="50"/>
      <c r="C324" s="59"/>
      <c r="H324" s="52"/>
    </row>
    <row r="325">
      <c r="B325" s="50"/>
      <c r="C325" s="59"/>
      <c r="H325" s="52"/>
    </row>
    <row r="326">
      <c r="B326" s="50"/>
      <c r="C326" s="59"/>
      <c r="H326" s="52"/>
    </row>
    <row r="327">
      <c r="B327" s="50"/>
      <c r="C327" s="59"/>
      <c r="H327" s="52"/>
    </row>
    <row r="328">
      <c r="B328" s="50"/>
      <c r="C328" s="59"/>
      <c r="H328" s="52"/>
    </row>
    <row r="329">
      <c r="B329" s="50"/>
      <c r="C329" s="59"/>
      <c r="H329" s="52"/>
    </row>
    <row r="330">
      <c r="B330" s="50"/>
      <c r="C330" s="59"/>
      <c r="H330" s="52"/>
    </row>
    <row r="331">
      <c r="B331" s="50"/>
      <c r="C331" s="59"/>
      <c r="H331" s="52"/>
    </row>
    <row r="332">
      <c r="B332" s="50"/>
      <c r="C332" s="59"/>
      <c r="H332" s="52"/>
    </row>
    <row r="333">
      <c r="B333" s="50"/>
      <c r="C333" s="59"/>
      <c r="H333" s="52"/>
    </row>
    <row r="334">
      <c r="B334" s="50"/>
      <c r="C334" s="59"/>
      <c r="H334" s="52"/>
    </row>
    <row r="335">
      <c r="B335" s="50"/>
      <c r="C335" s="59"/>
      <c r="H335" s="52"/>
    </row>
    <row r="336">
      <c r="B336" s="50"/>
      <c r="C336" s="59"/>
      <c r="H336" s="52"/>
    </row>
    <row r="337">
      <c r="B337" s="50"/>
      <c r="C337" s="59"/>
      <c r="H337" s="52"/>
    </row>
    <row r="338">
      <c r="B338" s="50"/>
      <c r="C338" s="59"/>
      <c r="H338" s="52"/>
    </row>
    <row r="339">
      <c r="B339" s="50"/>
      <c r="C339" s="59"/>
      <c r="H339" s="52"/>
    </row>
    <row r="340">
      <c r="B340" s="50"/>
      <c r="C340" s="59"/>
      <c r="H340" s="52"/>
    </row>
    <row r="341">
      <c r="B341" s="50"/>
      <c r="C341" s="59"/>
      <c r="H341" s="52"/>
    </row>
    <row r="342">
      <c r="B342" s="50"/>
      <c r="C342" s="59"/>
      <c r="H342" s="52"/>
    </row>
    <row r="343">
      <c r="B343" s="50"/>
      <c r="C343" s="59"/>
      <c r="H343" s="52"/>
    </row>
    <row r="344">
      <c r="B344" s="50"/>
      <c r="C344" s="59"/>
      <c r="H344" s="52"/>
    </row>
    <row r="345">
      <c r="B345" s="50"/>
      <c r="C345" s="59"/>
      <c r="H345" s="52"/>
    </row>
    <row r="346">
      <c r="B346" s="50"/>
      <c r="C346" s="59"/>
      <c r="H346" s="52"/>
    </row>
    <row r="347">
      <c r="B347" s="50"/>
      <c r="C347" s="59"/>
      <c r="H347" s="52"/>
    </row>
    <row r="348">
      <c r="B348" s="50"/>
      <c r="C348" s="59"/>
      <c r="H348" s="52"/>
    </row>
    <row r="349">
      <c r="B349" s="50"/>
      <c r="C349" s="59"/>
      <c r="H349" s="52"/>
    </row>
    <row r="350">
      <c r="B350" s="50"/>
      <c r="C350" s="59"/>
      <c r="H350" s="52"/>
    </row>
    <row r="351">
      <c r="B351" s="50"/>
      <c r="C351" s="59"/>
      <c r="H351" s="52"/>
    </row>
    <row r="352">
      <c r="B352" s="50"/>
      <c r="C352" s="59"/>
      <c r="H352" s="52"/>
    </row>
    <row r="353">
      <c r="B353" s="50"/>
      <c r="C353" s="59"/>
      <c r="H353" s="52"/>
    </row>
    <row r="354">
      <c r="B354" s="50"/>
      <c r="C354" s="59"/>
      <c r="H354" s="52"/>
    </row>
    <row r="355">
      <c r="B355" s="50"/>
      <c r="C355" s="59"/>
      <c r="H355" s="52"/>
    </row>
    <row r="356">
      <c r="B356" s="50"/>
      <c r="C356" s="59"/>
      <c r="H356" s="52"/>
    </row>
    <row r="357">
      <c r="B357" s="50"/>
      <c r="C357" s="59"/>
      <c r="H357" s="52"/>
    </row>
    <row r="358">
      <c r="B358" s="50"/>
      <c r="C358" s="59"/>
      <c r="H358" s="52"/>
    </row>
    <row r="359">
      <c r="B359" s="50"/>
      <c r="C359" s="59"/>
      <c r="H359" s="52"/>
    </row>
    <row r="360">
      <c r="B360" s="50"/>
      <c r="C360" s="59"/>
      <c r="H360" s="52"/>
    </row>
    <row r="361">
      <c r="B361" s="50"/>
      <c r="C361" s="59"/>
      <c r="H361" s="52"/>
    </row>
    <row r="362">
      <c r="B362" s="50"/>
      <c r="C362" s="59"/>
      <c r="H362" s="52"/>
    </row>
    <row r="363">
      <c r="B363" s="50"/>
      <c r="C363" s="59"/>
      <c r="H363" s="52"/>
    </row>
    <row r="364">
      <c r="B364" s="50"/>
      <c r="C364" s="59"/>
      <c r="H364" s="52"/>
    </row>
    <row r="365">
      <c r="B365" s="50"/>
      <c r="C365" s="59"/>
      <c r="H365" s="52"/>
    </row>
    <row r="366">
      <c r="B366" s="50"/>
      <c r="C366" s="59"/>
      <c r="H366" s="52"/>
    </row>
    <row r="367">
      <c r="B367" s="50"/>
      <c r="C367" s="59"/>
      <c r="H367" s="52"/>
    </row>
    <row r="368">
      <c r="B368" s="50"/>
      <c r="C368" s="59"/>
      <c r="H368" s="52"/>
    </row>
    <row r="369">
      <c r="B369" s="50"/>
      <c r="C369" s="59"/>
      <c r="H369" s="52"/>
    </row>
    <row r="370">
      <c r="B370" s="50"/>
      <c r="C370" s="59"/>
      <c r="H370" s="52"/>
    </row>
    <row r="371">
      <c r="B371" s="50"/>
      <c r="C371" s="59"/>
      <c r="H371" s="52"/>
    </row>
    <row r="372">
      <c r="B372" s="50"/>
      <c r="C372" s="59"/>
      <c r="H372" s="52"/>
    </row>
    <row r="373">
      <c r="B373" s="50"/>
      <c r="C373" s="59"/>
      <c r="H373" s="52"/>
    </row>
    <row r="374">
      <c r="B374" s="50"/>
      <c r="C374" s="59"/>
      <c r="H374" s="52"/>
    </row>
    <row r="375">
      <c r="B375" s="50"/>
      <c r="C375" s="59"/>
      <c r="H375" s="52"/>
    </row>
    <row r="376">
      <c r="B376" s="50"/>
      <c r="C376" s="59"/>
      <c r="H376" s="52"/>
    </row>
    <row r="377">
      <c r="B377" s="50"/>
      <c r="C377" s="59"/>
      <c r="H377" s="52"/>
    </row>
    <row r="378">
      <c r="B378" s="50"/>
      <c r="C378" s="59"/>
      <c r="H378" s="52"/>
    </row>
    <row r="379">
      <c r="B379" s="50"/>
      <c r="C379" s="59"/>
      <c r="H379" s="52"/>
    </row>
    <row r="380">
      <c r="B380" s="50"/>
      <c r="C380" s="59"/>
      <c r="H380" s="52"/>
    </row>
    <row r="381">
      <c r="B381" s="50"/>
      <c r="C381" s="59"/>
      <c r="H381" s="52"/>
    </row>
    <row r="382">
      <c r="B382" s="50"/>
      <c r="C382" s="59"/>
      <c r="H382" s="52"/>
    </row>
    <row r="383">
      <c r="B383" s="50"/>
      <c r="C383" s="59"/>
      <c r="H383" s="52"/>
    </row>
    <row r="384">
      <c r="B384" s="50"/>
      <c r="C384" s="59"/>
      <c r="H384" s="52"/>
    </row>
    <row r="385">
      <c r="B385" s="50"/>
      <c r="C385" s="59"/>
      <c r="H385" s="52"/>
    </row>
    <row r="386">
      <c r="B386" s="50"/>
      <c r="C386" s="59"/>
      <c r="H386" s="52"/>
    </row>
    <row r="387">
      <c r="B387" s="50"/>
      <c r="C387" s="59"/>
      <c r="H387" s="52"/>
    </row>
    <row r="388">
      <c r="B388" s="50"/>
      <c r="C388" s="59"/>
      <c r="H388" s="52"/>
    </row>
    <row r="389">
      <c r="B389" s="50"/>
      <c r="C389" s="59"/>
      <c r="H389" s="52"/>
    </row>
    <row r="390">
      <c r="B390" s="50"/>
      <c r="C390" s="59"/>
      <c r="H390" s="52"/>
    </row>
    <row r="391">
      <c r="B391" s="50"/>
      <c r="C391" s="59"/>
      <c r="H391" s="52"/>
    </row>
    <row r="392">
      <c r="B392" s="50"/>
      <c r="C392" s="59"/>
      <c r="H392" s="52"/>
    </row>
    <row r="393">
      <c r="B393" s="50"/>
      <c r="C393" s="59"/>
      <c r="H393" s="52"/>
    </row>
    <row r="394">
      <c r="B394" s="50"/>
      <c r="C394" s="59"/>
      <c r="H394" s="52"/>
    </row>
    <row r="395">
      <c r="B395" s="50"/>
      <c r="C395" s="59"/>
      <c r="H395" s="52"/>
    </row>
    <row r="396">
      <c r="B396" s="50"/>
      <c r="C396" s="59"/>
      <c r="H396" s="52"/>
    </row>
    <row r="397">
      <c r="B397" s="50"/>
      <c r="C397" s="59"/>
      <c r="H397" s="52"/>
    </row>
    <row r="398">
      <c r="B398" s="50"/>
      <c r="C398" s="59"/>
      <c r="H398" s="52"/>
    </row>
    <row r="399">
      <c r="B399" s="50"/>
      <c r="C399" s="59"/>
      <c r="H399" s="52"/>
    </row>
    <row r="400">
      <c r="B400" s="50"/>
      <c r="C400" s="59"/>
      <c r="H400" s="52"/>
    </row>
    <row r="401">
      <c r="B401" s="50"/>
      <c r="C401" s="59"/>
      <c r="H401" s="52"/>
    </row>
    <row r="402">
      <c r="B402" s="50"/>
      <c r="C402" s="59"/>
      <c r="H402" s="52"/>
    </row>
    <row r="403">
      <c r="B403" s="50"/>
      <c r="C403" s="59"/>
      <c r="H403" s="52"/>
    </row>
    <row r="404">
      <c r="B404" s="50"/>
      <c r="C404" s="59"/>
      <c r="H404" s="52"/>
    </row>
    <row r="405">
      <c r="B405" s="50"/>
      <c r="C405" s="59"/>
      <c r="H405" s="52"/>
    </row>
    <row r="406">
      <c r="B406" s="50"/>
      <c r="C406" s="59"/>
      <c r="H406" s="52"/>
    </row>
    <row r="407">
      <c r="B407" s="50"/>
      <c r="C407" s="59"/>
      <c r="H407" s="52"/>
    </row>
    <row r="408">
      <c r="B408" s="50"/>
      <c r="C408" s="59"/>
      <c r="H408" s="52"/>
    </row>
    <row r="409">
      <c r="B409" s="50"/>
      <c r="C409" s="59"/>
      <c r="H409" s="52"/>
    </row>
    <row r="410">
      <c r="B410" s="50"/>
      <c r="C410" s="59"/>
      <c r="H410" s="52"/>
    </row>
    <row r="411">
      <c r="B411" s="50"/>
      <c r="C411" s="59"/>
      <c r="H411" s="52"/>
    </row>
    <row r="412">
      <c r="B412" s="50"/>
      <c r="C412" s="59"/>
      <c r="H412" s="52"/>
    </row>
    <row r="413">
      <c r="B413" s="50"/>
      <c r="C413" s="59"/>
      <c r="H413" s="52"/>
    </row>
    <row r="414">
      <c r="B414" s="50"/>
      <c r="C414" s="59"/>
      <c r="H414" s="52"/>
    </row>
    <row r="415">
      <c r="B415" s="50"/>
      <c r="C415" s="59"/>
      <c r="H415" s="52"/>
    </row>
    <row r="416">
      <c r="B416" s="50"/>
      <c r="C416" s="59"/>
      <c r="H416" s="52"/>
    </row>
    <row r="417">
      <c r="B417" s="50"/>
      <c r="C417" s="59"/>
      <c r="H417" s="52"/>
    </row>
    <row r="418">
      <c r="B418" s="50"/>
      <c r="C418" s="59"/>
      <c r="H418" s="52"/>
    </row>
    <row r="419">
      <c r="B419" s="50"/>
      <c r="C419" s="59"/>
      <c r="H419" s="52"/>
    </row>
    <row r="420">
      <c r="B420" s="50"/>
      <c r="C420" s="59"/>
      <c r="H420" s="52"/>
    </row>
    <row r="421">
      <c r="B421" s="50"/>
      <c r="C421" s="59"/>
      <c r="H421" s="52"/>
    </row>
    <row r="422">
      <c r="B422" s="50"/>
      <c r="C422" s="59"/>
      <c r="H422" s="52"/>
    </row>
    <row r="423">
      <c r="B423" s="50"/>
      <c r="C423" s="59"/>
      <c r="H423" s="52"/>
    </row>
    <row r="424">
      <c r="B424" s="50"/>
      <c r="C424" s="59"/>
      <c r="H424" s="52"/>
    </row>
    <row r="425">
      <c r="B425" s="50"/>
      <c r="C425" s="59"/>
      <c r="H425" s="52"/>
    </row>
    <row r="426">
      <c r="B426" s="50"/>
      <c r="C426" s="59"/>
      <c r="H426" s="52"/>
    </row>
    <row r="427">
      <c r="B427" s="50"/>
      <c r="C427" s="59"/>
      <c r="H427" s="52"/>
    </row>
    <row r="428">
      <c r="B428" s="50"/>
      <c r="C428" s="59"/>
      <c r="H428" s="52"/>
    </row>
    <row r="429">
      <c r="B429" s="50"/>
      <c r="C429" s="59"/>
      <c r="H429" s="52"/>
    </row>
    <row r="430">
      <c r="B430" s="50"/>
      <c r="C430" s="59"/>
      <c r="H430" s="52"/>
    </row>
    <row r="431">
      <c r="B431" s="50"/>
      <c r="C431" s="59"/>
      <c r="H431" s="52"/>
    </row>
    <row r="432">
      <c r="B432" s="50"/>
      <c r="C432" s="59"/>
      <c r="H432" s="52"/>
    </row>
    <row r="433">
      <c r="B433" s="50"/>
      <c r="C433" s="59"/>
      <c r="H433" s="52"/>
    </row>
    <row r="434">
      <c r="B434" s="50"/>
      <c r="C434" s="59"/>
      <c r="H434" s="52"/>
    </row>
    <row r="435">
      <c r="B435" s="50"/>
      <c r="C435" s="59"/>
      <c r="H435" s="52"/>
    </row>
    <row r="436">
      <c r="B436" s="50"/>
      <c r="C436" s="59"/>
      <c r="H436" s="52"/>
    </row>
    <row r="437">
      <c r="B437" s="50"/>
      <c r="C437" s="59"/>
      <c r="H437" s="52"/>
    </row>
    <row r="438">
      <c r="B438" s="50"/>
      <c r="C438" s="59"/>
      <c r="H438" s="52"/>
    </row>
    <row r="439">
      <c r="B439" s="50"/>
      <c r="C439" s="59"/>
      <c r="H439" s="52"/>
    </row>
    <row r="440">
      <c r="B440" s="50"/>
      <c r="C440" s="59"/>
      <c r="H440" s="52"/>
    </row>
    <row r="441">
      <c r="B441" s="50"/>
      <c r="C441" s="59"/>
      <c r="H441" s="52"/>
    </row>
    <row r="442">
      <c r="B442" s="50"/>
      <c r="C442" s="59"/>
      <c r="H442" s="52"/>
    </row>
    <row r="443">
      <c r="B443" s="50"/>
      <c r="C443" s="59"/>
      <c r="H443" s="52"/>
    </row>
    <row r="444">
      <c r="B444" s="50"/>
      <c r="C444" s="59"/>
      <c r="H444" s="52"/>
    </row>
    <row r="445">
      <c r="B445" s="50"/>
      <c r="C445" s="59"/>
      <c r="H445" s="52"/>
    </row>
    <row r="446">
      <c r="B446" s="50"/>
      <c r="C446" s="59"/>
      <c r="H446" s="52"/>
    </row>
    <row r="447">
      <c r="B447" s="50"/>
      <c r="C447" s="59"/>
      <c r="H447" s="52"/>
    </row>
    <row r="448">
      <c r="B448" s="50"/>
      <c r="C448" s="59"/>
      <c r="H448" s="52"/>
    </row>
    <row r="449">
      <c r="B449" s="50"/>
      <c r="C449" s="59"/>
      <c r="H449" s="52"/>
    </row>
    <row r="450">
      <c r="B450" s="50"/>
      <c r="C450" s="59"/>
      <c r="H450" s="52"/>
    </row>
    <row r="451">
      <c r="B451" s="50"/>
      <c r="C451" s="59"/>
      <c r="H451" s="52"/>
    </row>
    <row r="452">
      <c r="B452" s="50"/>
      <c r="C452" s="59"/>
      <c r="H452" s="52"/>
    </row>
    <row r="453">
      <c r="B453" s="50"/>
      <c r="C453" s="59"/>
      <c r="H453" s="52"/>
    </row>
    <row r="454">
      <c r="B454" s="50"/>
      <c r="C454" s="59"/>
      <c r="H454" s="52"/>
    </row>
    <row r="455">
      <c r="B455" s="50"/>
      <c r="C455" s="59"/>
      <c r="H455" s="52"/>
    </row>
    <row r="456">
      <c r="B456" s="50"/>
      <c r="C456" s="59"/>
      <c r="H456" s="52"/>
    </row>
    <row r="457">
      <c r="B457" s="50"/>
      <c r="C457" s="59"/>
      <c r="H457" s="52"/>
    </row>
    <row r="458">
      <c r="B458" s="50"/>
      <c r="C458" s="59"/>
      <c r="H458" s="52"/>
    </row>
    <row r="459">
      <c r="B459" s="50"/>
      <c r="C459" s="59"/>
      <c r="H459" s="52"/>
    </row>
    <row r="460">
      <c r="B460" s="50"/>
      <c r="C460" s="59"/>
      <c r="H460" s="52"/>
    </row>
    <row r="461">
      <c r="B461" s="50"/>
      <c r="C461" s="59"/>
      <c r="H461" s="52"/>
    </row>
    <row r="462">
      <c r="B462" s="50"/>
      <c r="C462" s="59"/>
      <c r="H462" s="52"/>
    </row>
    <row r="463">
      <c r="B463" s="50"/>
      <c r="C463" s="59"/>
      <c r="H463" s="52"/>
    </row>
    <row r="464">
      <c r="B464" s="50"/>
      <c r="C464" s="59"/>
      <c r="H464" s="52"/>
    </row>
    <row r="465">
      <c r="B465" s="50"/>
      <c r="C465" s="59"/>
      <c r="H465" s="52"/>
    </row>
    <row r="466">
      <c r="B466" s="50"/>
      <c r="C466" s="59"/>
      <c r="H466" s="52"/>
    </row>
    <row r="467">
      <c r="B467" s="50"/>
      <c r="C467" s="59"/>
      <c r="H467" s="52"/>
    </row>
    <row r="468">
      <c r="B468" s="50"/>
      <c r="C468" s="59"/>
      <c r="H468" s="52"/>
    </row>
    <row r="469">
      <c r="B469" s="50"/>
      <c r="C469" s="59"/>
      <c r="H469" s="52"/>
    </row>
    <row r="470">
      <c r="B470" s="50"/>
      <c r="C470" s="59"/>
      <c r="H470" s="52"/>
    </row>
    <row r="471">
      <c r="B471" s="50"/>
      <c r="C471" s="59"/>
      <c r="H471" s="52"/>
    </row>
    <row r="472">
      <c r="B472" s="50"/>
      <c r="C472" s="59"/>
      <c r="H472" s="52"/>
    </row>
    <row r="473">
      <c r="B473" s="50"/>
      <c r="C473" s="59"/>
      <c r="H473" s="52"/>
    </row>
    <row r="474">
      <c r="B474" s="50"/>
      <c r="C474" s="59"/>
      <c r="H474" s="52"/>
    </row>
    <row r="475">
      <c r="B475" s="50"/>
      <c r="C475" s="59"/>
      <c r="H475" s="52"/>
    </row>
    <row r="476">
      <c r="B476" s="50"/>
      <c r="C476" s="59"/>
      <c r="H476" s="52"/>
    </row>
    <row r="477">
      <c r="B477" s="50"/>
      <c r="C477" s="59"/>
      <c r="H477" s="52"/>
    </row>
    <row r="478">
      <c r="B478" s="50"/>
      <c r="C478" s="59"/>
      <c r="H478" s="52"/>
    </row>
    <row r="479">
      <c r="B479" s="50"/>
      <c r="C479" s="59"/>
      <c r="H479" s="52"/>
    </row>
    <row r="480">
      <c r="B480" s="50"/>
      <c r="C480" s="59"/>
      <c r="H480" s="52"/>
    </row>
    <row r="481">
      <c r="B481" s="50"/>
      <c r="C481" s="59"/>
      <c r="H481" s="52"/>
    </row>
    <row r="482">
      <c r="B482" s="50"/>
      <c r="C482" s="59"/>
      <c r="H482" s="52"/>
    </row>
    <row r="483">
      <c r="B483" s="50"/>
      <c r="C483" s="59"/>
      <c r="H483" s="52"/>
    </row>
    <row r="484">
      <c r="B484" s="50"/>
      <c r="C484" s="59"/>
      <c r="H484" s="52"/>
    </row>
    <row r="485">
      <c r="B485" s="50"/>
      <c r="C485" s="59"/>
      <c r="H485" s="52"/>
    </row>
    <row r="486">
      <c r="B486" s="50"/>
      <c r="C486" s="59"/>
      <c r="H486" s="52"/>
    </row>
    <row r="487">
      <c r="B487" s="50"/>
      <c r="C487" s="59"/>
      <c r="H487" s="52"/>
    </row>
    <row r="488">
      <c r="B488" s="50"/>
      <c r="C488" s="59"/>
      <c r="H488" s="52"/>
    </row>
    <row r="489">
      <c r="B489" s="50"/>
      <c r="C489" s="59"/>
      <c r="H489" s="52"/>
    </row>
    <row r="490">
      <c r="B490" s="50"/>
      <c r="C490" s="59"/>
      <c r="H490" s="52"/>
    </row>
    <row r="491">
      <c r="B491" s="50"/>
      <c r="C491" s="59"/>
      <c r="H491" s="52"/>
    </row>
    <row r="492">
      <c r="B492" s="50"/>
      <c r="C492" s="59"/>
      <c r="H492" s="52"/>
    </row>
    <row r="493">
      <c r="B493" s="50"/>
      <c r="C493" s="59"/>
      <c r="H493" s="52"/>
    </row>
    <row r="494">
      <c r="B494" s="50"/>
      <c r="C494" s="59"/>
      <c r="H494" s="52"/>
    </row>
    <row r="495">
      <c r="B495" s="50"/>
      <c r="C495" s="59"/>
      <c r="H495" s="52"/>
    </row>
    <row r="496">
      <c r="B496" s="50"/>
      <c r="C496" s="59"/>
      <c r="H496" s="52"/>
    </row>
    <row r="497">
      <c r="B497" s="50"/>
      <c r="C497" s="59"/>
      <c r="H497" s="52"/>
    </row>
    <row r="498">
      <c r="B498" s="50"/>
      <c r="C498" s="59"/>
      <c r="H498" s="52"/>
    </row>
    <row r="499">
      <c r="B499" s="50"/>
      <c r="C499" s="59"/>
      <c r="H499" s="52"/>
    </row>
    <row r="500">
      <c r="B500" s="50"/>
      <c r="C500" s="59"/>
      <c r="H500" s="52"/>
    </row>
    <row r="501">
      <c r="B501" s="50"/>
      <c r="C501" s="59"/>
      <c r="H501" s="52"/>
    </row>
    <row r="502">
      <c r="B502" s="50"/>
      <c r="C502" s="59"/>
      <c r="H502" s="52"/>
    </row>
    <row r="503">
      <c r="B503" s="50"/>
      <c r="C503" s="59"/>
      <c r="H503" s="52"/>
    </row>
    <row r="504">
      <c r="B504" s="50"/>
      <c r="C504" s="59"/>
      <c r="H504" s="52"/>
    </row>
    <row r="505">
      <c r="B505" s="50"/>
      <c r="C505" s="59"/>
      <c r="H505" s="52"/>
    </row>
    <row r="506">
      <c r="B506" s="50"/>
      <c r="C506" s="59"/>
      <c r="H506" s="52"/>
    </row>
    <row r="507">
      <c r="B507" s="50"/>
      <c r="C507" s="59"/>
      <c r="H507" s="52"/>
    </row>
    <row r="508">
      <c r="B508" s="50"/>
      <c r="C508" s="59"/>
      <c r="H508" s="52"/>
    </row>
    <row r="509">
      <c r="B509" s="50"/>
      <c r="C509" s="59"/>
      <c r="H509" s="52"/>
    </row>
    <row r="510">
      <c r="B510" s="50"/>
      <c r="C510" s="59"/>
      <c r="H510" s="52"/>
    </row>
    <row r="511">
      <c r="B511" s="50"/>
      <c r="C511" s="59"/>
      <c r="H511" s="52"/>
    </row>
    <row r="512">
      <c r="B512" s="50"/>
      <c r="C512" s="59"/>
      <c r="H512" s="52"/>
    </row>
    <row r="513">
      <c r="B513" s="50"/>
      <c r="C513" s="59"/>
      <c r="H513" s="52"/>
    </row>
    <row r="514">
      <c r="B514" s="50"/>
      <c r="C514" s="59"/>
      <c r="H514" s="52"/>
    </row>
    <row r="515">
      <c r="B515" s="50"/>
      <c r="C515" s="59"/>
      <c r="H515" s="52"/>
    </row>
    <row r="516">
      <c r="B516" s="50"/>
      <c r="C516" s="59"/>
      <c r="H516" s="52"/>
    </row>
    <row r="517">
      <c r="B517" s="50"/>
      <c r="C517" s="59"/>
      <c r="H517" s="52"/>
    </row>
    <row r="518">
      <c r="B518" s="50"/>
      <c r="C518" s="59"/>
      <c r="H518" s="52"/>
    </row>
    <row r="519">
      <c r="B519" s="50"/>
      <c r="C519" s="59"/>
      <c r="H519" s="52"/>
    </row>
    <row r="520">
      <c r="B520" s="50"/>
      <c r="C520" s="59"/>
      <c r="H520" s="52"/>
    </row>
    <row r="521">
      <c r="B521" s="50"/>
      <c r="C521" s="59"/>
      <c r="H521" s="52"/>
    </row>
    <row r="522">
      <c r="B522" s="50"/>
      <c r="C522" s="59"/>
      <c r="H522" s="52"/>
    </row>
    <row r="523">
      <c r="B523" s="50"/>
      <c r="C523" s="59"/>
      <c r="H523" s="52"/>
    </row>
    <row r="524">
      <c r="B524" s="50"/>
      <c r="C524" s="59"/>
      <c r="H524" s="52"/>
    </row>
    <row r="525">
      <c r="B525" s="50"/>
      <c r="C525" s="59"/>
      <c r="H525" s="52"/>
    </row>
    <row r="526">
      <c r="B526" s="50"/>
      <c r="C526" s="59"/>
      <c r="H526" s="52"/>
    </row>
    <row r="527">
      <c r="B527" s="50"/>
      <c r="C527" s="59"/>
      <c r="H527" s="52"/>
    </row>
    <row r="528">
      <c r="B528" s="50"/>
      <c r="C528" s="59"/>
      <c r="H528" s="52"/>
    </row>
    <row r="529">
      <c r="B529" s="50"/>
      <c r="C529" s="59"/>
      <c r="H529" s="52"/>
    </row>
    <row r="530">
      <c r="B530" s="50"/>
      <c r="C530" s="59"/>
      <c r="H530" s="52"/>
    </row>
    <row r="531">
      <c r="B531" s="50"/>
      <c r="C531" s="59"/>
      <c r="H531" s="52"/>
    </row>
    <row r="532">
      <c r="B532" s="50"/>
      <c r="C532" s="59"/>
      <c r="H532" s="52"/>
    </row>
    <row r="533">
      <c r="B533" s="50"/>
      <c r="C533" s="59"/>
      <c r="H533" s="52"/>
    </row>
    <row r="534">
      <c r="B534" s="50"/>
      <c r="C534" s="59"/>
      <c r="H534" s="52"/>
    </row>
    <row r="535">
      <c r="B535" s="50"/>
      <c r="C535" s="59"/>
      <c r="H535" s="52"/>
    </row>
    <row r="536">
      <c r="B536" s="50"/>
      <c r="C536" s="59"/>
      <c r="H536" s="52"/>
    </row>
    <row r="537">
      <c r="B537" s="50"/>
      <c r="C537" s="59"/>
      <c r="H537" s="52"/>
    </row>
    <row r="538">
      <c r="B538" s="50"/>
      <c r="C538" s="59"/>
      <c r="H538" s="52"/>
    </row>
    <row r="539">
      <c r="B539" s="50"/>
      <c r="C539" s="59"/>
      <c r="H539" s="52"/>
    </row>
    <row r="540">
      <c r="B540" s="50"/>
      <c r="C540" s="59"/>
      <c r="H540" s="52"/>
    </row>
    <row r="541">
      <c r="B541" s="50"/>
      <c r="C541" s="59"/>
      <c r="H541" s="52"/>
    </row>
    <row r="542">
      <c r="B542" s="50"/>
      <c r="C542" s="59"/>
      <c r="H542" s="52"/>
    </row>
    <row r="543">
      <c r="B543" s="50"/>
      <c r="C543" s="59"/>
      <c r="H543" s="52"/>
    </row>
    <row r="544">
      <c r="B544" s="50"/>
      <c r="C544" s="59"/>
      <c r="H544" s="52"/>
    </row>
    <row r="545">
      <c r="B545" s="50"/>
      <c r="C545" s="59"/>
      <c r="H545" s="52"/>
    </row>
    <row r="546">
      <c r="B546" s="50"/>
      <c r="C546" s="59"/>
      <c r="H546" s="52"/>
    </row>
    <row r="547">
      <c r="B547" s="50"/>
      <c r="C547" s="59"/>
      <c r="H547" s="52"/>
    </row>
    <row r="548">
      <c r="B548" s="50"/>
      <c r="C548" s="59"/>
      <c r="H548" s="52"/>
    </row>
    <row r="549">
      <c r="B549" s="50"/>
      <c r="C549" s="59"/>
      <c r="H549" s="52"/>
    </row>
    <row r="550">
      <c r="B550" s="50"/>
      <c r="C550" s="59"/>
      <c r="H550" s="52"/>
    </row>
    <row r="551">
      <c r="B551" s="50"/>
      <c r="C551" s="59"/>
      <c r="H551" s="52"/>
    </row>
    <row r="552">
      <c r="B552" s="50"/>
      <c r="C552" s="59"/>
      <c r="H552" s="52"/>
    </row>
    <row r="553">
      <c r="B553" s="50"/>
      <c r="C553" s="59"/>
      <c r="H553" s="52"/>
    </row>
    <row r="554">
      <c r="B554" s="50"/>
      <c r="C554" s="59"/>
      <c r="H554" s="52"/>
    </row>
    <row r="555">
      <c r="B555" s="50"/>
      <c r="C555" s="59"/>
      <c r="H555" s="52"/>
    </row>
    <row r="556">
      <c r="B556" s="50"/>
      <c r="C556" s="59"/>
      <c r="H556" s="52"/>
    </row>
    <row r="557">
      <c r="B557" s="50"/>
      <c r="C557" s="59"/>
      <c r="H557" s="52"/>
    </row>
    <row r="558">
      <c r="B558" s="50"/>
      <c r="C558" s="59"/>
      <c r="H558" s="52"/>
    </row>
    <row r="559">
      <c r="B559" s="50"/>
      <c r="C559" s="59"/>
      <c r="H559" s="52"/>
    </row>
    <row r="560">
      <c r="B560" s="50"/>
      <c r="C560" s="59"/>
      <c r="H560" s="52"/>
    </row>
    <row r="561">
      <c r="B561" s="50"/>
      <c r="C561" s="59"/>
      <c r="H561" s="52"/>
    </row>
    <row r="562">
      <c r="B562" s="50"/>
      <c r="C562" s="59"/>
      <c r="H562" s="52"/>
    </row>
    <row r="563">
      <c r="B563" s="50"/>
      <c r="C563" s="59"/>
      <c r="H563" s="52"/>
    </row>
    <row r="564">
      <c r="B564" s="50"/>
      <c r="C564" s="59"/>
      <c r="H564" s="52"/>
    </row>
    <row r="565">
      <c r="B565" s="50"/>
      <c r="C565" s="59"/>
      <c r="H565" s="52"/>
    </row>
    <row r="566">
      <c r="B566" s="50"/>
      <c r="C566" s="59"/>
      <c r="H566" s="52"/>
    </row>
    <row r="567">
      <c r="B567" s="50"/>
      <c r="C567" s="59"/>
      <c r="H567" s="52"/>
    </row>
    <row r="568">
      <c r="B568" s="50"/>
      <c r="C568" s="59"/>
      <c r="H568" s="52"/>
    </row>
    <row r="569">
      <c r="B569" s="50"/>
      <c r="C569" s="59"/>
      <c r="H569" s="52"/>
    </row>
    <row r="570">
      <c r="B570" s="50"/>
      <c r="C570" s="59"/>
      <c r="H570" s="52"/>
    </row>
    <row r="571">
      <c r="B571" s="50"/>
      <c r="C571" s="59"/>
      <c r="H571" s="52"/>
    </row>
    <row r="572">
      <c r="B572" s="50"/>
      <c r="C572" s="59"/>
      <c r="H572" s="52"/>
    </row>
    <row r="573">
      <c r="B573" s="50"/>
      <c r="C573" s="59"/>
      <c r="H573" s="52"/>
    </row>
    <row r="574">
      <c r="B574" s="50"/>
      <c r="C574" s="59"/>
      <c r="H574" s="52"/>
    </row>
    <row r="575">
      <c r="B575" s="50"/>
      <c r="C575" s="59"/>
      <c r="H575" s="52"/>
    </row>
    <row r="576">
      <c r="B576" s="50"/>
      <c r="C576" s="59"/>
      <c r="H576" s="52"/>
    </row>
    <row r="577">
      <c r="B577" s="50"/>
      <c r="C577" s="59"/>
      <c r="H577" s="52"/>
    </row>
    <row r="578">
      <c r="B578" s="50"/>
      <c r="C578" s="59"/>
      <c r="H578" s="52"/>
    </row>
    <row r="579">
      <c r="B579" s="50"/>
      <c r="C579" s="59"/>
      <c r="H579" s="52"/>
    </row>
    <row r="580">
      <c r="B580" s="50"/>
      <c r="C580" s="59"/>
      <c r="H580" s="52"/>
    </row>
    <row r="581">
      <c r="B581" s="50"/>
      <c r="C581" s="59"/>
      <c r="H581" s="52"/>
    </row>
    <row r="582">
      <c r="B582" s="50"/>
      <c r="C582" s="59"/>
      <c r="H582" s="52"/>
    </row>
    <row r="583">
      <c r="B583" s="50"/>
      <c r="C583" s="59"/>
      <c r="H583" s="52"/>
    </row>
    <row r="584">
      <c r="B584" s="50"/>
      <c r="C584" s="59"/>
      <c r="H584" s="52"/>
    </row>
    <row r="585">
      <c r="B585" s="50"/>
      <c r="C585" s="59"/>
      <c r="H585" s="52"/>
    </row>
    <row r="586">
      <c r="B586" s="50"/>
      <c r="C586" s="59"/>
      <c r="H586" s="52"/>
    </row>
    <row r="587">
      <c r="B587" s="50"/>
      <c r="C587" s="59"/>
      <c r="H587" s="52"/>
    </row>
    <row r="588">
      <c r="B588" s="50"/>
      <c r="C588" s="59"/>
      <c r="H588" s="52"/>
    </row>
    <row r="589">
      <c r="B589" s="50"/>
      <c r="C589" s="59"/>
      <c r="H589" s="52"/>
    </row>
    <row r="590">
      <c r="B590" s="50"/>
      <c r="C590" s="59"/>
      <c r="H590" s="52"/>
    </row>
    <row r="591">
      <c r="B591" s="50"/>
      <c r="C591" s="59"/>
      <c r="H591" s="52"/>
    </row>
    <row r="592">
      <c r="B592" s="50"/>
      <c r="C592" s="59"/>
      <c r="H592" s="52"/>
    </row>
    <row r="593">
      <c r="B593" s="50"/>
      <c r="C593" s="59"/>
      <c r="H593" s="52"/>
    </row>
    <row r="594">
      <c r="B594" s="50"/>
      <c r="C594" s="59"/>
      <c r="H594" s="52"/>
    </row>
    <row r="595">
      <c r="B595" s="50"/>
      <c r="C595" s="59"/>
      <c r="H595" s="52"/>
    </row>
    <row r="596">
      <c r="B596" s="50"/>
      <c r="C596" s="59"/>
      <c r="H596" s="52"/>
    </row>
    <row r="597">
      <c r="B597" s="50"/>
      <c r="C597" s="59"/>
      <c r="H597" s="52"/>
    </row>
    <row r="598">
      <c r="B598" s="50"/>
      <c r="C598" s="59"/>
      <c r="H598" s="52"/>
    </row>
    <row r="599">
      <c r="B599" s="50"/>
      <c r="C599" s="59"/>
      <c r="H599" s="52"/>
    </row>
    <row r="600">
      <c r="B600" s="50"/>
      <c r="C600" s="59"/>
      <c r="H600" s="52"/>
    </row>
    <row r="601">
      <c r="B601" s="50"/>
      <c r="C601" s="59"/>
      <c r="H601" s="52"/>
    </row>
    <row r="602">
      <c r="B602" s="50"/>
      <c r="C602" s="59"/>
      <c r="H602" s="52"/>
    </row>
    <row r="603">
      <c r="B603" s="50"/>
      <c r="C603" s="59"/>
      <c r="H603" s="52"/>
    </row>
    <row r="604">
      <c r="B604" s="50"/>
      <c r="C604" s="59"/>
      <c r="H604" s="52"/>
    </row>
    <row r="605">
      <c r="B605" s="50"/>
      <c r="C605" s="59"/>
      <c r="H605" s="52"/>
    </row>
    <row r="606">
      <c r="B606" s="50"/>
      <c r="C606" s="59"/>
      <c r="H606" s="52"/>
    </row>
    <row r="607">
      <c r="B607" s="50"/>
      <c r="C607" s="59"/>
      <c r="H607" s="52"/>
    </row>
    <row r="608">
      <c r="B608" s="50"/>
      <c r="C608" s="59"/>
      <c r="H608" s="52"/>
    </row>
    <row r="609">
      <c r="B609" s="50"/>
      <c r="C609" s="59"/>
      <c r="H609" s="52"/>
    </row>
    <row r="610">
      <c r="B610" s="50"/>
      <c r="C610" s="59"/>
      <c r="H610" s="52"/>
    </row>
    <row r="611">
      <c r="B611" s="50"/>
      <c r="C611" s="59"/>
      <c r="H611" s="52"/>
    </row>
    <row r="612">
      <c r="B612" s="50"/>
      <c r="C612" s="59"/>
      <c r="H612" s="52"/>
    </row>
    <row r="613">
      <c r="B613" s="50"/>
      <c r="C613" s="59"/>
      <c r="H613" s="52"/>
    </row>
    <row r="614">
      <c r="B614" s="50"/>
      <c r="C614" s="59"/>
      <c r="H614" s="52"/>
    </row>
    <row r="615">
      <c r="B615" s="50"/>
      <c r="C615" s="59"/>
      <c r="H615" s="52"/>
    </row>
    <row r="616">
      <c r="B616" s="50"/>
      <c r="C616" s="59"/>
      <c r="H616" s="52"/>
    </row>
    <row r="617">
      <c r="B617" s="50"/>
      <c r="C617" s="59"/>
      <c r="H617" s="52"/>
    </row>
    <row r="618">
      <c r="B618" s="50"/>
      <c r="C618" s="59"/>
      <c r="H618" s="52"/>
    </row>
    <row r="619">
      <c r="B619" s="50"/>
      <c r="C619" s="59"/>
      <c r="H619" s="52"/>
    </row>
    <row r="620">
      <c r="B620" s="50"/>
      <c r="C620" s="59"/>
      <c r="H620" s="52"/>
    </row>
    <row r="621">
      <c r="B621" s="50"/>
      <c r="C621" s="59"/>
      <c r="H621" s="52"/>
    </row>
    <row r="622">
      <c r="B622" s="50"/>
      <c r="C622" s="59"/>
      <c r="H622" s="52"/>
    </row>
    <row r="623">
      <c r="B623" s="50"/>
      <c r="C623" s="59"/>
      <c r="H623" s="52"/>
    </row>
    <row r="624">
      <c r="B624" s="50"/>
      <c r="C624" s="59"/>
      <c r="H624" s="52"/>
    </row>
    <row r="625">
      <c r="B625" s="50"/>
      <c r="C625" s="59"/>
      <c r="H625" s="52"/>
    </row>
    <row r="626">
      <c r="B626" s="50"/>
      <c r="C626" s="59"/>
      <c r="H626" s="52"/>
    </row>
    <row r="627">
      <c r="B627" s="50"/>
      <c r="C627" s="59"/>
      <c r="H627" s="52"/>
    </row>
    <row r="628">
      <c r="B628" s="50"/>
      <c r="C628" s="59"/>
      <c r="H628" s="52"/>
    </row>
    <row r="629">
      <c r="B629" s="50"/>
      <c r="C629" s="59"/>
      <c r="H629" s="52"/>
    </row>
    <row r="630">
      <c r="B630" s="50"/>
      <c r="C630" s="59"/>
      <c r="H630" s="52"/>
    </row>
    <row r="631">
      <c r="B631" s="50"/>
      <c r="C631" s="59"/>
      <c r="H631" s="52"/>
    </row>
    <row r="632">
      <c r="B632" s="50"/>
      <c r="C632" s="59"/>
      <c r="H632" s="52"/>
    </row>
    <row r="633">
      <c r="B633" s="50"/>
      <c r="C633" s="59"/>
      <c r="H633" s="52"/>
    </row>
    <row r="634">
      <c r="B634" s="50"/>
      <c r="C634" s="59"/>
      <c r="H634" s="52"/>
    </row>
    <row r="635">
      <c r="B635" s="50"/>
      <c r="C635" s="59"/>
      <c r="H635" s="52"/>
    </row>
    <row r="636">
      <c r="B636" s="50"/>
      <c r="C636" s="59"/>
      <c r="H636" s="52"/>
    </row>
    <row r="637">
      <c r="B637" s="50"/>
      <c r="C637" s="59"/>
      <c r="H637" s="52"/>
    </row>
    <row r="638">
      <c r="B638" s="50"/>
      <c r="C638" s="59"/>
      <c r="H638" s="52"/>
    </row>
    <row r="639">
      <c r="B639" s="50"/>
      <c r="C639" s="59"/>
      <c r="H639" s="52"/>
    </row>
    <row r="640">
      <c r="B640" s="50"/>
      <c r="C640" s="59"/>
      <c r="H640" s="52"/>
    </row>
    <row r="641">
      <c r="B641" s="50"/>
      <c r="C641" s="59"/>
      <c r="H641" s="52"/>
    </row>
    <row r="642">
      <c r="B642" s="50"/>
      <c r="C642" s="59"/>
      <c r="H642" s="52"/>
    </row>
    <row r="643">
      <c r="B643" s="50"/>
      <c r="C643" s="59"/>
      <c r="H643" s="52"/>
    </row>
    <row r="644">
      <c r="B644" s="50"/>
      <c r="C644" s="59"/>
      <c r="H644" s="52"/>
    </row>
    <row r="645">
      <c r="B645" s="50"/>
      <c r="C645" s="59"/>
      <c r="H645" s="52"/>
    </row>
    <row r="646">
      <c r="B646" s="50"/>
      <c r="C646" s="59"/>
      <c r="H646" s="52"/>
    </row>
    <row r="647">
      <c r="B647" s="50"/>
      <c r="C647" s="59"/>
      <c r="H647" s="52"/>
    </row>
    <row r="648">
      <c r="B648" s="50"/>
      <c r="C648" s="59"/>
      <c r="H648" s="52"/>
    </row>
    <row r="649">
      <c r="B649" s="50"/>
      <c r="C649" s="59"/>
      <c r="H649" s="52"/>
    </row>
    <row r="650">
      <c r="B650" s="50"/>
      <c r="C650" s="59"/>
      <c r="H650" s="52"/>
    </row>
    <row r="651">
      <c r="B651" s="50"/>
      <c r="C651" s="59"/>
      <c r="H651" s="52"/>
    </row>
    <row r="652">
      <c r="B652" s="50"/>
      <c r="C652" s="59"/>
      <c r="H652" s="52"/>
    </row>
    <row r="653">
      <c r="B653" s="50"/>
      <c r="C653" s="59"/>
      <c r="H653" s="52"/>
    </row>
    <row r="654">
      <c r="B654" s="50"/>
      <c r="C654" s="59"/>
      <c r="H654" s="52"/>
    </row>
    <row r="655">
      <c r="B655" s="50"/>
      <c r="C655" s="59"/>
      <c r="H655" s="52"/>
    </row>
    <row r="656">
      <c r="B656" s="50"/>
      <c r="C656" s="59"/>
      <c r="H656" s="52"/>
    </row>
    <row r="657">
      <c r="B657" s="50"/>
      <c r="C657" s="59"/>
      <c r="H657" s="52"/>
    </row>
    <row r="658">
      <c r="B658" s="50"/>
      <c r="C658" s="59"/>
      <c r="H658" s="52"/>
    </row>
    <row r="659">
      <c r="B659" s="50"/>
      <c r="C659" s="59"/>
      <c r="H659" s="52"/>
    </row>
    <row r="660">
      <c r="B660" s="50"/>
      <c r="C660" s="59"/>
      <c r="H660" s="52"/>
    </row>
    <row r="661">
      <c r="B661" s="50"/>
      <c r="C661" s="59"/>
      <c r="H661" s="52"/>
    </row>
    <row r="662">
      <c r="B662" s="50"/>
      <c r="C662" s="59"/>
      <c r="H662" s="52"/>
    </row>
    <row r="663">
      <c r="B663" s="50"/>
      <c r="C663" s="59"/>
      <c r="H663" s="52"/>
    </row>
    <row r="664">
      <c r="B664" s="50"/>
      <c r="C664" s="59"/>
      <c r="H664" s="52"/>
    </row>
    <row r="665">
      <c r="B665" s="50"/>
      <c r="C665" s="59"/>
      <c r="H665" s="52"/>
    </row>
    <row r="666">
      <c r="B666" s="50"/>
      <c r="C666" s="59"/>
      <c r="H666" s="52"/>
    </row>
    <row r="667">
      <c r="B667" s="50"/>
      <c r="C667" s="59"/>
      <c r="H667" s="52"/>
    </row>
    <row r="668">
      <c r="B668" s="50"/>
      <c r="C668" s="59"/>
      <c r="H668" s="52"/>
    </row>
    <row r="669">
      <c r="B669" s="50"/>
      <c r="C669" s="59"/>
      <c r="H669" s="52"/>
    </row>
    <row r="670">
      <c r="B670" s="50"/>
      <c r="C670" s="59"/>
      <c r="H670" s="52"/>
    </row>
    <row r="671">
      <c r="B671" s="50"/>
      <c r="C671" s="59"/>
      <c r="H671" s="52"/>
    </row>
    <row r="672">
      <c r="B672" s="50"/>
      <c r="C672" s="59"/>
      <c r="H672" s="52"/>
    </row>
    <row r="673">
      <c r="B673" s="50"/>
      <c r="C673" s="59"/>
      <c r="H673" s="52"/>
    </row>
    <row r="674">
      <c r="B674" s="50"/>
      <c r="C674" s="59"/>
      <c r="H674" s="52"/>
    </row>
    <row r="675">
      <c r="B675" s="50"/>
      <c r="C675" s="59"/>
      <c r="H675" s="52"/>
    </row>
    <row r="676">
      <c r="B676" s="50"/>
      <c r="C676" s="59"/>
      <c r="H676" s="52"/>
    </row>
    <row r="677">
      <c r="B677" s="50"/>
      <c r="C677" s="59"/>
      <c r="H677" s="52"/>
    </row>
    <row r="678">
      <c r="B678" s="50"/>
      <c r="C678" s="59"/>
      <c r="H678" s="52"/>
    </row>
    <row r="679">
      <c r="B679" s="50"/>
      <c r="C679" s="59"/>
      <c r="H679" s="52"/>
    </row>
    <row r="680">
      <c r="B680" s="50"/>
      <c r="C680" s="59"/>
      <c r="H680" s="52"/>
    </row>
    <row r="681">
      <c r="B681" s="50"/>
      <c r="C681" s="59"/>
      <c r="H681" s="52"/>
    </row>
    <row r="682">
      <c r="B682" s="50"/>
      <c r="C682" s="59"/>
      <c r="H682" s="52"/>
    </row>
    <row r="683">
      <c r="B683" s="50"/>
      <c r="C683" s="59"/>
      <c r="H683" s="52"/>
    </row>
    <row r="684">
      <c r="B684" s="50"/>
      <c r="C684" s="59"/>
      <c r="H684" s="52"/>
    </row>
    <row r="685">
      <c r="B685" s="50"/>
      <c r="C685" s="59"/>
      <c r="H685" s="52"/>
    </row>
    <row r="686">
      <c r="B686" s="50"/>
      <c r="C686" s="59"/>
      <c r="H686" s="52"/>
    </row>
    <row r="687">
      <c r="B687" s="50"/>
      <c r="C687" s="59"/>
      <c r="H687" s="52"/>
    </row>
    <row r="688">
      <c r="B688" s="50"/>
      <c r="C688" s="59"/>
      <c r="H688" s="52"/>
    </row>
    <row r="689">
      <c r="B689" s="50"/>
      <c r="C689" s="59"/>
      <c r="H689" s="52"/>
    </row>
    <row r="690">
      <c r="B690" s="50"/>
      <c r="C690" s="59"/>
      <c r="H690" s="52"/>
    </row>
    <row r="691">
      <c r="B691" s="50"/>
      <c r="C691" s="59"/>
      <c r="H691" s="52"/>
    </row>
    <row r="692">
      <c r="B692" s="50"/>
      <c r="C692" s="59"/>
      <c r="H692" s="52"/>
    </row>
    <row r="693">
      <c r="B693" s="50"/>
      <c r="C693" s="59"/>
      <c r="H693" s="52"/>
    </row>
    <row r="694">
      <c r="B694" s="50"/>
      <c r="C694" s="59"/>
      <c r="H694" s="52"/>
    </row>
    <row r="695">
      <c r="B695" s="50"/>
      <c r="C695" s="59"/>
      <c r="H695" s="52"/>
    </row>
    <row r="696">
      <c r="B696" s="50"/>
      <c r="C696" s="59"/>
      <c r="H696" s="52"/>
    </row>
    <row r="697">
      <c r="B697" s="50"/>
      <c r="C697" s="59"/>
      <c r="H697" s="52"/>
    </row>
    <row r="698">
      <c r="B698" s="50"/>
      <c r="C698" s="59"/>
      <c r="H698" s="52"/>
    </row>
    <row r="699">
      <c r="B699" s="50"/>
      <c r="C699" s="59"/>
      <c r="H699" s="52"/>
    </row>
    <row r="700">
      <c r="B700" s="50"/>
      <c r="C700" s="59"/>
      <c r="H700" s="52"/>
    </row>
    <row r="701">
      <c r="B701" s="50"/>
      <c r="C701" s="59"/>
      <c r="H701" s="52"/>
    </row>
    <row r="702">
      <c r="B702" s="50"/>
      <c r="C702" s="59"/>
      <c r="H702" s="52"/>
    </row>
    <row r="703">
      <c r="B703" s="50"/>
      <c r="C703" s="59"/>
      <c r="H703" s="52"/>
    </row>
    <row r="704">
      <c r="B704" s="50"/>
      <c r="C704" s="59"/>
      <c r="H704" s="52"/>
    </row>
    <row r="705">
      <c r="B705" s="50"/>
      <c r="C705" s="59"/>
      <c r="H705" s="52"/>
    </row>
    <row r="706">
      <c r="B706" s="50"/>
      <c r="C706" s="59"/>
      <c r="H706" s="52"/>
    </row>
    <row r="707">
      <c r="B707" s="50"/>
      <c r="C707" s="59"/>
      <c r="H707" s="52"/>
    </row>
    <row r="708">
      <c r="B708" s="50"/>
      <c r="C708" s="59"/>
      <c r="H708" s="52"/>
    </row>
    <row r="709">
      <c r="B709" s="50"/>
      <c r="C709" s="59"/>
      <c r="H709" s="52"/>
    </row>
    <row r="710">
      <c r="B710" s="50"/>
      <c r="C710" s="59"/>
      <c r="H710" s="52"/>
    </row>
    <row r="711">
      <c r="B711" s="50"/>
      <c r="C711" s="59"/>
      <c r="H711" s="52"/>
    </row>
    <row r="712">
      <c r="B712" s="50"/>
      <c r="C712" s="59"/>
      <c r="H712" s="52"/>
    </row>
    <row r="713">
      <c r="B713" s="50"/>
      <c r="C713" s="59"/>
      <c r="H713" s="52"/>
    </row>
    <row r="714">
      <c r="B714" s="50"/>
      <c r="C714" s="59"/>
      <c r="H714" s="52"/>
    </row>
    <row r="715">
      <c r="B715" s="50"/>
      <c r="C715" s="59"/>
      <c r="H715" s="52"/>
    </row>
    <row r="716">
      <c r="B716" s="50"/>
      <c r="C716" s="59"/>
      <c r="H716" s="52"/>
    </row>
    <row r="717">
      <c r="B717" s="50"/>
      <c r="C717" s="59"/>
      <c r="H717" s="52"/>
    </row>
    <row r="718">
      <c r="B718" s="50"/>
      <c r="C718" s="59"/>
      <c r="H718" s="52"/>
    </row>
    <row r="719">
      <c r="B719" s="50"/>
      <c r="C719" s="59"/>
      <c r="H719" s="52"/>
    </row>
    <row r="720">
      <c r="B720" s="50"/>
      <c r="C720" s="59"/>
      <c r="H720" s="52"/>
    </row>
    <row r="721">
      <c r="B721" s="50"/>
      <c r="C721" s="59"/>
      <c r="H721" s="52"/>
    </row>
    <row r="722">
      <c r="B722" s="50"/>
      <c r="C722" s="59"/>
      <c r="H722" s="52"/>
    </row>
    <row r="723">
      <c r="B723" s="50"/>
      <c r="C723" s="59"/>
      <c r="H723" s="52"/>
    </row>
    <row r="724">
      <c r="B724" s="50"/>
      <c r="C724" s="59"/>
      <c r="H724" s="52"/>
    </row>
    <row r="725">
      <c r="B725" s="50"/>
      <c r="C725" s="59"/>
      <c r="H725" s="52"/>
    </row>
    <row r="726">
      <c r="B726" s="50"/>
      <c r="C726" s="59"/>
      <c r="H726" s="52"/>
    </row>
    <row r="727">
      <c r="B727" s="50"/>
      <c r="C727" s="59"/>
      <c r="H727" s="52"/>
    </row>
    <row r="728">
      <c r="B728" s="50"/>
      <c r="C728" s="59"/>
      <c r="H728" s="52"/>
    </row>
    <row r="729">
      <c r="B729" s="50"/>
      <c r="C729" s="59"/>
      <c r="H729" s="52"/>
    </row>
    <row r="730">
      <c r="B730" s="50"/>
      <c r="C730" s="59"/>
      <c r="H730" s="52"/>
    </row>
    <row r="731">
      <c r="B731" s="50"/>
      <c r="C731" s="59"/>
      <c r="H731" s="52"/>
    </row>
    <row r="732">
      <c r="B732" s="50"/>
      <c r="C732" s="59"/>
      <c r="H732" s="52"/>
    </row>
    <row r="733">
      <c r="B733" s="50"/>
      <c r="C733" s="59"/>
      <c r="H733" s="52"/>
    </row>
    <row r="734">
      <c r="B734" s="50"/>
      <c r="C734" s="59"/>
      <c r="H734" s="52"/>
    </row>
    <row r="735">
      <c r="B735" s="50"/>
      <c r="C735" s="59"/>
      <c r="H735" s="52"/>
    </row>
    <row r="736">
      <c r="B736" s="50"/>
      <c r="C736" s="59"/>
      <c r="H736" s="52"/>
    </row>
    <row r="737">
      <c r="B737" s="50"/>
      <c r="C737" s="59"/>
      <c r="H737" s="52"/>
    </row>
    <row r="738">
      <c r="B738" s="50"/>
      <c r="C738" s="59"/>
      <c r="H738" s="52"/>
    </row>
    <row r="739">
      <c r="B739" s="50"/>
      <c r="C739" s="59"/>
      <c r="H739" s="52"/>
    </row>
    <row r="740">
      <c r="B740" s="50"/>
      <c r="C740" s="59"/>
      <c r="H740" s="52"/>
    </row>
    <row r="741">
      <c r="B741" s="50"/>
      <c r="C741" s="59"/>
      <c r="H741" s="52"/>
    </row>
    <row r="742">
      <c r="B742" s="50"/>
      <c r="C742" s="59"/>
      <c r="H742" s="52"/>
    </row>
    <row r="743">
      <c r="B743" s="50"/>
      <c r="C743" s="59"/>
      <c r="H743" s="52"/>
    </row>
    <row r="744">
      <c r="B744" s="50"/>
      <c r="C744" s="59"/>
      <c r="H744" s="52"/>
    </row>
    <row r="745">
      <c r="B745" s="50"/>
      <c r="C745" s="59"/>
      <c r="H745" s="52"/>
    </row>
    <row r="746">
      <c r="B746" s="50"/>
      <c r="C746" s="59"/>
      <c r="H746" s="52"/>
    </row>
    <row r="747">
      <c r="B747" s="50"/>
      <c r="C747" s="59"/>
      <c r="H747" s="52"/>
    </row>
    <row r="748">
      <c r="B748" s="50"/>
      <c r="C748" s="59"/>
      <c r="H748" s="52"/>
    </row>
    <row r="749">
      <c r="B749" s="50"/>
      <c r="C749" s="59"/>
      <c r="H749" s="52"/>
    </row>
    <row r="750">
      <c r="B750" s="50"/>
      <c r="C750" s="59"/>
      <c r="H750" s="52"/>
    </row>
    <row r="751">
      <c r="B751" s="50"/>
      <c r="C751" s="59"/>
      <c r="H751" s="52"/>
    </row>
    <row r="752">
      <c r="B752" s="50"/>
      <c r="C752" s="59"/>
      <c r="H752" s="52"/>
    </row>
    <row r="753">
      <c r="B753" s="50"/>
      <c r="C753" s="59"/>
      <c r="H753" s="52"/>
    </row>
    <row r="754">
      <c r="B754" s="50"/>
      <c r="C754" s="59"/>
      <c r="H754" s="52"/>
    </row>
    <row r="755">
      <c r="B755" s="50"/>
      <c r="C755" s="59"/>
      <c r="H755" s="52"/>
    </row>
    <row r="756">
      <c r="B756" s="50"/>
      <c r="C756" s="59"/>
      <c r="H756" s="52"/>
    </row>
    <row r="757">
      <c r="B757" s="50"/>
      <c r="C757" s="59"/>
      <c r="H757" s="52"/>
    </row>
    <row r="758">
      <c r="B758" s="50"/>
      <c r="C758" s="59"/>
      <c r="H758" s="52"/>
    </row>
    <row r="759">
      <c r="B759" s="50"/>
      <c r="C759" s="59"/>
      <c r="H759" s="52"/>
    </row>
    <row r="760">
      <c r="B760" s="50"/>
      <c r="C760" s="59"/>
      <c r="H760" s="52"/>
    </row>
    <row r="761">
      <c r="B761" s="50"/>
      <c r="C761" s="59"/>
      <c r="H761" s="52"/>
    </row>
    <row r="762">
      <c r="B762" s="50"/>
      <c r="C762" s="59"/>
      <c r="H762" s="52"/>
    </row>
    <row r="763">
      <c r="B763" s="50"/>
      <c r="C763" s="59"/>
      <c r="H763" s="52"/>
    </row>
    <row r="764">
      <c r="B764" s="50"/>
      <c r="C764" s="59"/>
      <c r="H764" s="52"/>
    </row>
    <row r="765">
      <c r="B765" s="50"/>
      <c r="C765" s="59"/>
      <c r="H765" s="52"/>
    </row>
    <row r="766">
      <c r="B766" s="50"/>
      <c r="C766" s="59"/>
      <c r="H766" s="52"/>
    </row>
    <row r="767">
      <c r="B767" s="50"/>
      <c r="C767" s="59"/>
      <c r="H767" s="52"/>
    </row>
    <row r="768">
      <c r="B768" s="50"/>
      <c r="C768" s="59"/>
      <c r="H768" s="52"/>
    </row>
    <row r="769">
      <c r="B769" s="50"/>
      <c r="C769" s="59"/>
      <c r="H769" s="52"/>
    </row>
    <row r="770">
      <c r="B770" s="50"/>
      <c r="C770" s="59"/>
      <c r="H770" s="52"/>
    </row>
    <row r="771">
      <c r="B771" s="50"/>
      <c r="C771" s="59"/>
      <c r="H771" s="52"/>
    </row>
    <row r="772">
      <c r="B772" s="50"/>
      <c r="C772" s="59"/>
      <c r="H772" s="52"/>
    </row>
    <row r="773">
      <c r="B773" s="50"/>
      <c r="C773" s="59"/>
      <c r="H773" s="52"/>
    </row>
    <row r="774">
      <c r="B774" s="50"/>
      <c r="C774" s="59"/>
      <c r="H774" s="52"/>
    </row>
    <row r="775">
      <c r="B775" s="50"/>
      <c r="C775" s="59"/>
      <c r="H775" s="52"/>
    </row>
    <row r="776">
      <c r="B776" s="50"/>
      <c r="C776" s="59"/>
      <c r="H776" s="52"/>
    </row>
    <row r="777">
      <c r="B777" s="50"/>
      <c r="C777" s="59"/>
      <c r="H777" s="52"/>
    </row>
    <row r="778">
      <c r="B778" s="50"/>
      <c r="C778" s="59"/>
      <c r="H778" s="52"/>
    </row>
    <row r="779">
      <c r="B779" s="50"/>
      <c r="C779" s="59"/>
      <c r="H779" s="52"/>
    </row>
    <row r="780">
      <c r="B780" s="50"/>
      <c r="C780" s="59"/>
      <c r="H780" s="52"/>
    </row>
    <row r="781">
      <c r="B781" s="50"/>
      <c r="C781" s="59"/>
      <c r="H781" s="52"/>
    </row>
    <row r="782">
      <c r="B782" s="50"/>
      <c r="C782" s="59"/>
      <c r="H782" s="52"/>
    </row>
    <row r="783">
      <c r="B783" s="50"/>
      <c r="C783" s="59"/>
      <c r="H783" s="52"/>
    </row>
    <row r="784">
      <c r="B784" s="50"/>
      <c r="C784" s="59"/>
      <c r="H784" s="52"/>
    </row>
    <row r="785">
      <c r="B785" s="50"/>
      <c r="C785" s="59"/>
      <c r="H785" s="52"/>
    </row>
    <row r="786">
      <c r="B786" s="50"/>
      <c r="C786" s="59"/>
      <c r="H786" s="52"/>
    </row>
    <row r="787">
      <c r="B787" s="50"/>
      <c r="C787" s="59"/>
      <c r="H787" s="52"/>
    </row>
    <row r="788">
      <c r="B788" s="50"/>
      <c r="C788" s="59"/>
      <c r="H788" s="52"/>
    </row>
    <row r="789">
      <c r="B789" s="50"/>
      <c r="C789" s="59"/>
      <c r="H789" s="52"/>
    </row>
    <row r="790">
      <c r="B790" s="50"/>
      <c r="C790" s="59"/>
      <c r="H790" s="52"/>
    </row>
    <row r="791">
      <c r="B791" s="50"/>
      <c r="C791" s="59"/>
      <c r="H791" s="52"/>
    </row>
    <row r="792">
      <c r="B792" s="50"/>
      <c r="C792" s="59"/>
      <c r="H792" s="52"/>
    </row>
    <row r="793">
      <c r="B793" s="50"/>
      <c r="C793" s="59"/>
      <c r="H793" s="52"/>
    </row>
    <row r="794">
      <c r="B794" s="50"/>
      <c r="C794" s="59"/>
      <c r="H794" s="52"/>
    </row>
    <row r="795">
      <c r="B795" s="50"/>
      <c r="C795" s="59"/>
      <c r="H795" s="52"/>
    </row>
    <row r="796">
      <c r="B796" s="50"/>
      <c r="C796" s="59"/>
      <c r="H796" s="52"/>
    </row>
    <row r="797">
      <c r="B797" s="50"/>
      <c r="C797" s="59"/>
      <c r="H797" s="52"/>
    </row>
    <row r="798">
      <c r="B798" s="50"/>
      <c r="C798" s="59"/>
      <c r="H798" s="52"/>
    </row>
    <row r="799">
      <c r="B799" s="50"/>
      <c r="C799" s="59"/>
      <c r="H799" s="52"/>
    </row>
    <row r="800">
      <c r="B800" s="50"/>
      <c r="C800" s="59"/>
      <c r="H800" s="52"/>
    </row>
    <row r="801">
      <c r="B801" s="50"/>
      <c r="C801" s="59"/>
      <c r="H801" s="52"/>
    </row>
    <row r="802">
      <c r="B802" s="50"/>
      <c r="C802" s="59"/>
      <c r="H802" s="52"/>
    </row>
    <row r="803">
      <c r="B803" s="50"/>
      <c r="C803" s="59"/>
      <c r="H803" s="52"/>
    </row>
    <row r="804">
      <c r="B804" s="50"/>
      <c r="C804" s="59"/>
      <c r="H804" s="52"/>
    </row>
    <row r="805">
      <c r="B805" s="50"/>
      <c r="C805" s="59"/>
      <c r="H805" s="52"/>
    </row>
    <row r="806">
      <c r="B806" s="50"/>
      <c r="C806" s="59"/>
      <c r="H806" s="52"/>
    </row>
    <row r="807">
      <c r="B807" s="50"/>
      <c r="C807" s="59"/>
      <c r="H807" s="52"/>
    </row>
    <row r="808">
      <c r="B808" s="50"/>
      <c r="C808" s="59"/>
      <c r="H808" s="52"/>
    </row>
    <row r="809">
      <c r="B809" s="50"/>
      <c r="C809" s="59"/>
      <c r="H809" s="52"/>
    </row>
    <row r="810">
      <c r="B810" s="50"/>
      <c r="C810" s="59"/>
      <c r="H810" s="52"/>
    </row>
    <row r="811">
      <c r="B811" s="50"/>
      <c r="C811" s="59"/>
      <c r="H811" s="52"/>
    </row>
    <row r="812">
      <c r="B812" s="50"/>
      <c r="C812" s="59"/>
      <c r="H812" s="52"/>
    </row>
    <row r="813">
      <c r="B813" s="50"/>
      <c r="C813" s="59"/>
      <c r="H813" s="52"/>
    </row>
    <row r="814">
      <c r="B814" s="50"/>
      <c r="C814" s="59"/>
      <c r="H814" s="52"/>
    </row>
    <row r="815">
      <c r="B815" s="50"/>
      <c r="C815" s="59"/>
      <c r="H815" s="52"/>
    </row>
    <row r="816">
      <c r="B816" s="50"/>
      <c r="C816" s="59"/>
      <c r="H816" s="52"/>
    </row>
    <row r="817">
      <c r="B817" s="50"/>
      <c r="C817" s="59"/>
      <c r="H817" s="52"/>
    </row>
    <row r="818">
      <c r="B818" s="50"/>
      <c r="C818" s="59"/>
      <c r="H818" s="52"/>
    </row>
    <row r="819">
      <c r="B819" s="50"/>
      <c r="C819" s="59"/>
      <c r="H819" s="52"/>
    </row>
    <row r="820">
      <c r="B820" s="50"/>
      <c r="C820" s="59"/>
      <c r="H820" s="52"/>
    </row>
    <row r="821">
      <c r="B821" s="50"/>
      <c r="C821" s="59"/>
      <c r="H821" s="52"/>
    </row>
    <row r="822">
      <c r="B822" s="50"/>
      <c r="C822" s="59"/>
      <c r="H822" s="52"/>
    </row>
    <row r="823">
      <c r="B823" s="50"/>
      <c r="C823" s="59"/>
      <c r="H823" s="52"/>
    </row>
    <row r="824">
      <c r="B824" s="50"/>
      <c r="C824" s="59"/>
      <c r="H824" s="52"/>
    </row>
    <row r="825">
      <c r="B825" s="50"/>
      <c r="C825" s="59"/>
      <c r="H825" s="52"/>
    </row>
    <row r="826">
      <c r="B826" s="50"/>
      <c r="C826" s="59"/>
      <c r="H826" s="52"/>
    </row>
    <row r="827">
      <c r="B827" s="50"/>
      <c r="C827" s="59"/>
      <c r="H827" s="52"/>
    </row>
    <row r="828">
      <c r="B828" s="50"/>
      <c r="C828" s="59"/>
      <c r="H828" s="52"/>
    </row>
    <row r="829">
      <c r="B829" s="50"/>
      <c r="C829" s="59"/>
      <c r="H829" s="52"/>
    </row>
    <row r="830">
      <c r="B830" s="50"/>
      <c r="C830" s="59"/>
      <c r="H830" s="52"/>
    </row>
    <row r="831">
      <c r="B831" s="50"/>
      <c r="C831" s="59"/>
      <c r="H831" s="52"/>
    </row>
    <row r="832">
      <c r="B832" s="50"/>
      <c r="C832" s="59"/>
      <c r="H832" s="52"/>
    </row>
    <row r="833">
      <c r="B833" s="50"/>
      <c r="C833" s="59"/>
      <c r="H833" s="52"/>
    </row>
    <row r="834">
      <c r="B834" s="50"/>
      <c r="C834" s="59"/>
      <c r="H834" s="52"/>
    </row>
    <row r="835">
      <c r="B835" s="50"/>
      <c r="C835" s="59"/>
      <c r="H835" s="52"/>
    </row>
    <row r="836">
      <c r="B836" s="50"/>
      <c r="C836" s="59"/>
      <c r="H836" s="52"/>
    </row>
    <row r="837">
      <c r="B837" s="50"/>
      <c r="C837" s="59"/>
      <c r="H837" s="52"/>
    </row>
    <row r="838">
      <c r="B838" s="50"/>
      <c r="C838" s="59"/>
      <c r="H838" s="52"/>
    </row>
    <row r="839">
      <c r="B839" s="50"/>
      <c r="C839" s="59"/>
      <c r="H839" s="52"/>
    </row>
    <row r="840">
      <c r="B840" s="50"/>
      <c r="C840" s="59"/>
      <c r="H840" s="52"/>
    </row>
    <row r="841">
      <c r="B841" s="50"/>
      <c r="C841" s="59"/>
      <c r="H841" s="52"/>
    </row>
    <row r="842">
      <c r="B842" s="50"/>
      <c r="C842" s="59"/>
      <c r="H842" s="52"/>
    </row>
    <row r="843">
      <c r="B843" s="50"/>
      <c r="C843" s="59"/>
      <c r="H843" s="52"/>
    </row>
    <row r="844">
      <c r="B844" s="50"/>
      <c r="C844" s="59"/>
      <c r="H844" s="52"/>
    </row>
    <row r="845">
      <c r="B845" s="50"/>
      <c r="C845" s="59"/>
      <c r="H845" s="52"/>
    </row>
    <row r="846">
      <c r="B846" s="50"/>
      <c r="C846" s="59"/>
      <c r="H846" s="52"/>
    </row>
    <row r="847">
      <c r="B847" s="50"/>
      <c r="C847" s="59"/>
      <c r="H847" s="52"/>
    </row>
    <row r="848">
      <c r="B848" s="50"/>
      <c r="C848" s="59"/>
      <c r="H848" s="52"/>
    </row>
    <row r="849">
      <c r="B849" s="50"/>
      <c r="C849" s="59"/>
      <c r="H849" s="52"/>
    </row>
    <row r="850">
      <c r="B850" s="50"/>
      <c r="C850" s="59"/>
      <c r="H850" s="52"/>
    </row>
    <row r="851">
      <c r="B851" s="50"/>
      <c r="C851" s="59"/>
      <c r="H851" s="52"/>
    </row>
    <row r="852">
      <c r="B852" s="50"/>
      <c r="C852" s="59"/>
      <c r="H852" s="52"/>
    </row>
    <row r="853">
      <c r="B853" s="50"/>
      <c r="C853" s="59"/>
      <c r="H853" s="52"/>
    </row>
    <row r="854">
      <c r="B854" s="50"/>
      <c r="C854" s="59"/>
      <c r="H854" s="52"/>
    </row>
    <row r="855">
      <c r="B855" s="50"/>
      <c r="C855" s="59"/>
      <c r="H855" s="52"/>
    </row>
    <row r="856">
      <c r="B856" s="50"/>
      <c r="C856" s="59"/>
      <c r="H856" s="52"/>
    </row>
    <row r="857">
      <c r="B857" s="50"/>
      <c r="C857" s="59"/>
      <c r="H857" s="52"/>
    </row>
    <row r="858">
      <c r="B858" s="50"/>
      <c r="C858" s="59"/>
      <c r="H858" s="52"/>
    </row>
    <row r="859">
      <c r="B859" s="50"/>
      <c r="C859" s="59"/>
      <c r="H859" s="52"/>
    </row>
    <row r="860">
      <c r="B860" s="50"/>
      <c r="C860" s="59"/>
      <c r="H860" s="52"/>
    </row>
    <row r="861">
      <c r="B861" s="50"/>
      <c r="C861" s="59"/>
      <c r="H861" s="52"/>
    </row>
    <row r="862">
      <c r="B862" s="50"/>
      <c r="C862" s="59"/>
      <c r="H862" s="52"/>
    </row>
    <row r="863">
      <c r="B863" s="50"/>
      <c r="C863" s="59"/>
      <c r="H863" s="52"/>
    </row>
    <row r="864">
      <c r="B864" s="50"/>
      <c r="C864" s="59"/>
      <c r="H864" s="52"/>
    </row>
    <row r="865">
      <c r="B865" s="50"/>
      <c r="C865" s="59"/>
      <c r="H865" s="52"/>
    </row>
    <row r="866">
      <c r="B866" s="50"/>
      <c r="C866" s="59"/>
      <c r="H866" s="52"/>
    </row>
    <row r="867">
      <c r="B867" s="50"/>
      <c r="C867" s="59"/>
      <c r="H867" s="52"/>
    </row>
    <row r="868">
      <c r="B868" s="50"/>
      <c r="C868" s="59"/>
      <c r="H868" s="52"/>
    </row>
    <row r="869">
      <c r="B869" s="50"/>
      <c r="C869" s="59"/>
      <c r="H869" s="52"/>
    </row>
    <row r="870">
      <c r="B870" s="50"/>
      <c r="C870" s="59"/>
      <c r="H870" s="52"/>
    </row>
    <row r="871">
      <c r="B871" s="50"/>
      <c r="C871" s="59"/>
      <c r="H871" s="52"/>
    </row>
    <row r="872">
      <c r="B872" s="50"/>
      <c r="C872" s="59"/>
      <c r="H872" s="52"/>
    </row>
    <row r="873">
      <c r="B873" s="50"/>
      <c r="C873" s="59"/>
      <c r="H873" s="52"/>
    </row>
    <row r="874">
      <c r="B874" s="50"/>
      <c r="C874" s="59"/>
      <c r="H874" s="52"/>
    </row>
    <row r="875">
      <c r="B875" s="50"/>
      <c r="C875" s="59"/>
      <c r="H875" s="52"/>
    </row>
    <row r="876">
      <c r="B876" s="50"/>
      <c r="C876" s="59"/>
      <c r="H876" s="52"/>
    </row>
    <row r="877">
      <c r="B877" s="50"/>
      <c r="C877" s="59"/>
      <c r="H877" s="52"/>
    </row>
    <row r="878">
      <c r="B878" s="50"/>
      <c r="C878" s="59"/>
      <c r="H878" s="52"/>
    </row>
    <row r="879">
      <c r="B879" s="50"/>
      <c r="C879" s="59"/>
      <c r="H879" s="52"/>
    </row>
    <row r="880">
      <c r="B880" s="50"/>
      <c r="C880" s="59"/>
      <c r="H880" s="52"/>
    </row>
    <row r="881">
      <c r="B881" s="50"/>
      <c r="C881" s="59"/>
      <c r="H881" s="52"/>
    </row>
    <row r="882">
      <c r="B882" s="50"/>
      <c r="C882" s="59"/>
      <c r="H882" s="52"/>
    </row>
    <row r="883">
      <c r="B883" s="50"/>
      <c r="C883" s="59"/>
      <c r="H883" s="52"/>
    </row>
    <row r="884">
      <c r="B884" s="50"/>
      <c r="C884" s="59"/>
      <c r="H884" s="52"/>
    </row>
    <row r="885">
      <c r="B885" s="50"/>
      <c r="C885" s="59"/>
      <c r="H885" s="52"/>
    </row>
    <row r="886">
      <c r="B886" s="50"/>
      <c r="C886" s="59"/>
      <c r="H886" s="52"/>
    </row>
    <row r="887">
      <c r="B887" s="50"/>
      <c r="C887" s="59"/>
      <c r="H887" s="52"/>
    </row>
    <row r="888">
      <c r="B888" s="50"/>
      <c r="C888" s="59"/>
      <c r="H888" s="52"/>
    </row>
    <row r="889">
      <c r="B889" s="50"/>
      <c r="C889" s="59"/>
      <c r="H889" s="52"/>
    </row>
    <row r="890">
      <c r="B890" s="50"/>
      <c r="C890" s="59"/>
      <c r="H890" s="52"/>
    </row>
    <row r="891">
      <c r="B891" s="50"/>
      <c r="C891" s="59"/>
      <c r="H891" s="52"/>
    </row>
    <row r="892">
      <c r="B892" s="50"/>
      <c r="C892" s="59"/>
      <c r="H892" s="52"/>
    </row>
    <row r="893">
      <c r="B893" s="50"/>
      <c r="C893" s="59"/>
      <c r="H893" s="52"/>
    </row>
    <row r="894">
      <c r="B894" s="50"/>
      <c r="C894" s="59"/>
      <c r="H894" s="52"/>
    </row>
    <row r="895">
      <c r="B895" s="50"/>
      <c r="C895" s="59"/>
      <c r="H895" s="52"/>
    </row>
    <row r="896">
      <c r="B896" s="50"/>
      <c r="C896" s="59"/>
      <c r="H896" s="52"/>
    </row>
    <row r="897">
      <c r="B897" s="50"/>
      <c r="C897" s="59"/>
      <c r="H897" s="52"/>
    </row>
    <row r="898">
      <c r="B898" s="50"/>
      <c r="C898" s="59"/>
      <c r="H898" s="52"/>
    </row>
    <row r="899">
      <c r="B899" s="50"/>
      <c r="C899" s="59"/>
      <c r="H899" s="52"/>
    </row>
    <row r="900">
      <c r="B900" s="50"/>
      <c r="C900" s="59"/>
      <c r="H900" s="52"/>
    </row>
    <row r="901">
      <c r="B901" s="50"/>
      <c r="C901" s="59"/>
      <c r="H901" s="52"/>
    </row>
    <row r="902">
      <c r="B902" s="50"/>
      <c r="C902" s="59"/>
      <c r="H902" s="52"/>
    </row>
    <row r="903">
      <c r="B903" s="50"/>
      <c r="C903" s="59"/>
      <c r="H903" s="52"/>
    </row>
    <row r="904">
      <c r="B904" s="50"/>
      <c r="C904" s="59"/>
      <c r="H904" s="52"/>
    </row>
    <row r="905">
      <c r="B905" s="50"/>
      <c r="C905" s="59"/>
      <c r="H905" s="52"/>
    </row>
    <row r="906">
      <c r="B906" s="50"/>
      <c r="C906" s="59"/>
      <c r="H906" s="52"/>
    </row>
    <row r="907">
      <c r="B907" s="50"/>
      <c r="C907" s="59"/>
      <c r="H907" s="52"/>
    </row>
    <row r="908">
      <c r="B908" s="50"/>
      <c r="C908" s="59"/>
      <c r="H908" s="52"/>
    </row>
    <row r="909">
      <c r="B909" s="50"/>
      <c r="C909" s="59"/>
      <c r="H909" s="52"/>
    </row>
    <row r="910">
      <c r="B910" s="50"/>
      <c r="C910" s="59"/>
      <c r="H910" s="52"/>
    </row>
    <row r="911">
      <c r="B911" s="50"/>
      <c r="C911" s="59"/>
      <c r="H911" s="52"/>
    </row>
    <row r="912">
      <c r="B912" s="50"/>
      <c r="C912" s="59"/>
      <c r="H912" s="52"/>
    </row>
    <row r="913">
      <c r="B913" s="50"/>
      <c r="C913" s="59"/>
      <c r="H913" s="52"/>
    </row>
    <row r="914">
      <c r="B914" s="50"/>
      <c r="C914" s="59"/>
      <c r="H914" s="52"/>
    </row>
    <row r="915">
      <c r="B915" s="50"/>
      <c r="C915" s="59"/>
      <c r="H915" s="52"/>
    </row>
    <row r="916">
      <c r="B916" s="50"/>
      <c r="C916" s="59"/>
      <c r="H916" s="52"/>
    </row>
    <row r="917">
      <c r="B917" s="50"/>
      <c r="C917" s="59"/>
      <c r="H917" s="52"/>
    </row>
    <row r="918">
      <c r="B918" s="50"/>
      <c r="C918" s="59"/>
      <c r="H918" s="52"/>
    </row>
    <row r="919">
      <c r="B919" s="50"/>
      <c r="C919" s="59"/>
      <c r="H919" s="52"/>
    </row>
    <row r="920">
      <c r="B920" s="50"/>
      <c r="C920" s="59"/>
      <c r="H920" s="52"/>
    </row>
    <row r="921">
      <c r="B921" s="50"/>
      <c r="C921" s="59"/>
      <c r="H921" s="52"/>
    </row>
    <row r="922">
      <c r="B922" s="50"/>
      <c r="C922" s="59"/>
      <c r="H922" s="52"/>
    </row>
    <row r="923">
      <c r="B923" s="50"/>
      <c r="C923" s="59"/>
      <c r="H923" s="52"/>
    </row>
    <row r="924">
      <c r="B924" s="50"/>
      <c r="C924" s="59"/>
      <c r="H924" s="52"/>
    </row>
    <row r="925">
      <c r="B925" s="50"/>
      <c r="C925" s="59"/>
      <c r="H925" s="52"/>
    </row>
    <row r="926">
      <c r="B926" s="50"/>
      <c r="C926" s="59"/>
      <c r="H926" s="52"/>
    </row>
    <row r="927">
      <c r="B927" s="50"/>
      <c r="C927" s="59"/>
      <c r="H927" s="52"/>
    </row>
    <row r="928">
      <c r="B928" s="50"/>
      <c r="C928" s="59"/>
      <c r="H928" s="52"/>
    </row>
    <row r="929">
      <c r="B929" s="50"/>
      <c r="C929" s="59"/>
      <c r="H929" s="52"/>
    </row>
    <row r="930">
      <c r="B930" s="50"/>
      <c r="C930" s="59"/>
      <c r="H930" s="52"/>
    </row>
    <row r="931">
      <c r="B931" s="50"/>
      <c r="C931" s="59"/>
      <c r="H931" s="52"/>
    </row>
    <row r="932">
      <c r="B932" s="50"/>
      <c r="C932" s="59"/>
      <c r="H932" s="52"/>
    </row>
    <row r="933">
      <c r="B933" s="50"/>
      <c r="C933" s="59"/>
      <c r="H933" s="52"/>
    </row>
    <row r="934">
      <c r="B934" s="50"/>
      <c r="C934" s="59"/>
      <c r="H934" s="52"/>
    </row>
    <row r="935">
      <c r="B935" s="50"/>
      <c r="C935" s="59"/>
      <c r="H935" s="52"/>
    </row>
    <row r="936">
      <c r="B936" s="50"/>
      <c r="C936" s="59"/>
      <c r="H936" s="52"/>
    </row>
    <row r="937">
      <c r="B937" s="50"/>
      <c r="C937" s="59"/>
      <c r="H937" s="52"/>
    </row>
    <row r="938">
      <c r="B938" s="50"/>
      <c r="C938" s="59"/>
      <c r="H938" s="52"/>
    </row>
    <row r="939">
      <c r="B939" s="50"/>
      <c r="C939" s="59"/>
      <c r="H939" s="52"/>
    </row>
    <row r="940">
      <c r="B940" s="50"/>
      <c r="C940" s="59"/>
      <c r="H940" s="52"/>
    </row>
    <row r="941">
      <c r="B941" s="50"/>
      <c r="C941" s="59"/>
      <c r="H941" s="52"/>
    </row>
    <row r="942">
      <c r="B942" s="50"/>
      <c r="C942" s="59"/>
      <c r="H942" s="52"/>
    </row>
    <row r="943">
      <c r="B943" s="50"/>
      <c r="C943" s="59"/>
      <c r="H943" s="52"/>
    </row>
    <row r="944">
      <c r="B944" s="50"/>
      <c r="C944" s="59"/>
      <c r="H944" s="52"/>
    </row>
    <row r="945">
      <c r="B945" s="50"/>
      <c r="C945" s="59"/>
      <c r="H945" s="52"/>
    </row>
    <row r="946">
      <c r="B946" s="50"/>
      <c r="C946" s="59"/>
      <c r="H946" s="52"/>
    </row>
    <row r="947">
      <c r="B947" s="50"/>
      <c r="C947" s="59"/>
      <c r="H947" s="52"/>
    </row>
    <row r="948">
      <c r="B948" s="50"/>
      <c r="C948" s="59"/>
      <c r="H948" s="52"/>
    </row>
    <row r="949">
      <c r="B949" s="50"/>
      <c r="C949" s="59"/>
      <c r="H949" s="52"/>
    </row>
    <row r="950">
      <c r="B950" s="50"/>
      <c r="C950" s="59"/>
      <c r="H950" s="52"/>
    </row>
    <row r="951">
      <c r="B951" s="50"/>
      <c r="C951" s="59"/>
      <c r="H951" s="52"/>
    </row>
    <row r="952">
      <c r="B952" s="50"/>
      <c r="C952" s="59"/>
      <c r="H952" s="52"/>
    </row>
    <row r="953">
      <c r="B953" s="50"/>
      <c r="C953" s="59"/>
      <c r="H953" s="52"/>
    </row>
    <row r="954">
      <c r="B954" s="50"/>
      <c r="C954" s="59"/>
      <c r="H954" s="52"/>
    </row>
    <row r="955">
      <c r="B955" s="50"/>
      <c r="C955" s="59"/>
      <c r="H955" s="52"/>
    </row>
    <row r="956">
      <c r="B956" s="50"/>
      <c r="C956" s="59"/>
      <c r="H956" s="52"/>
    </row>
    <row r="957">
      <c r="B957" s="50"/>
      <c r="C957" s="59"/>
      <c r="H957" s="52"/>
    </row>
    <row r="958">
      <c r="B958" s="50"/>
      <c r="C958" s="59"/>
      <c r="H958" s="52"/>
    </row>
    <row r="959">
      <c r="B959" s="50"/>
      <c r="C959" s="59"/>
      <c r="H959" s="52"/>
    </row>
    <row r="960">
      <c r="B960" s="50"/>
      <c r="C960" s="59"/>
      <c r="H960" s="52"/>
    </row>
    <row r="961">
      <c r="B961" s="50"/>
      <c r="C961" s="59"/>
      <c r="H961" s="52"/>
    </row>
    <row r="962">
      <c r="B962" s="50"/>
      <c r="C962" s="59"/>
      <c r="H962" s="52"/>
    </row>
    <row r="963">
      <c r="B963" s="50"/>
      <c r="C963" s="59"/>
      <c r="H963" s="52"/>
    </row>
    <row r="964">
      <c r="B964" s="50"/>
      <c r="C964" s="59"/>
      <c r="H964" s="52"/>
    </row>
    <row r="965">
      <c r="B965" s="50"/>
      <c r="C965" s="59"/>
      <c r="H965" s="52"/>
    </row>
    <row r="966">
      <c r="B966" s="50"/>
      <c r="C966" s="59"/>
      <c r="H966" s="52"/>
    </row>
    <row r="967">
      <c r="B967" s="50"/>
      <c r="C967" s="59"/>
      <c r="H967" s="52"/>
    </row>
    <row r="968">
      <c r="B968" s="50"/>
      <c r="C968" s="59"/>
      <c r="H968" s="52"/>
    </row>
    <row r="969">
      <c r="B969" s="50"/>
      <c r="C969" s="59"/>
      <c r="H969" s="52"/>
    </row>
    <row r="970">
      <c r="B970" s="50"/>
      <c r="C970" s="59"/>
      <c r="H970" s="52"/>
    </row>
    <row r="971">
      <c r="B971" s="50"/>
      <c r="C971" s="59"/>
      <c r="H971" s="52"/>
    </row>
    <row r="972">
      <c r="B972" s="50"/>
      <c r="C972" s="59"/>
      <c r="H972" s="52"/>
    </row>
    <row r="973">
      <c r="B973" s="50"/>
      <c r="C973" s="59"/>
      <c r="H973" s="52"/>
    </row>
    <row r="974">
      <c r="B974" s="50"/>
      <c r="C974" s="59"/>
      <c r="H974" s="52"/>
    </row>
    <row r="975">
      <c r="B975" s="50"/>
      <c r="C975" s="59"/>
      <c r="H975" s="52"/>
    </row>
    <row r="976">
      <c r="B976" s="50"/>
      <c r="C976" s="59"/>
      <c r="H976" s="52"/>
    </row>
    <row r="977">
      <c r="B977" s="50"/>
      <c r="C977" s="59"/>
      <c r="H977" s="52"/>
    </row>
    <row r="978">
      <c r="B978" s="50"/>
      <c r="C978" s="59"/>
      <c r="H978" s="52"/>
    </row>
    <row r="979">
      <c r="B979" s="50"/>
      <c r="C979" s="59"/>
      <c r="H979" s="52"/>
    </row>
    <row r="980">
      <c r="B980" s="50"/>
      <c r="C980" s="59"/>
      <c r="H980" s="52"/>
    </row>
    <row r="981">
      <c r="B981" s="50"/>
      <c r="C981" s="59"/>
      <c r="H981" s="52"/>
    </row>
    <row r="982">
      <c r="B982" s="50"/>
      <c r="C982" s="59"/>
      <c r="H982" s="52"/>
    </row>
    <row r="983">
      <c r="B983" s="50"/>
      <c r="C983" s="59"/>
      <c r="H983" s="52"/>
    </row>
    <row r="984">
      <c r="B984" s="50"/>
      <c r="C984" s="59"/>
      <c r="H984" s="52"/>
    </row>
    <row r="985">
      <c r="B985" s="50"/>
      <c r="C985" s="59"/>
      <c r="H985" s="52"/>
    </row>
    <row r="986">
      <c r="B986" s="50"/>
      <c r="C986" s="59"/>
      <c r="H986" s="52"/>
    </row>
    <row r="987">
      <c r="B987" s="50"/>
      <c r="C987" s="59"/>
      <c r="H987" s="52"/>
    </row>
    <row r="988">
      <c r="B988" s="50"/>
      <c r="C988" s="59"/>
      <c r="H988" s="52"/>
    </row>
    <row r="989">
      <c r="B989" s="50"/>
      <c r="C989" s="59"/>
      <c r="H989" s="52"/>
    </row>
    <row r="990">
      <c r="B990" s="50"/>
      <c r="C990" s="59"/>
      <c r="H990" s="52"/>
    </row>
    <row r="991">
      <c r="B991" s="50"/>
      <c r="C991" s="59"/>
      <c r="H991" s="52"/>
    </row>
    <row r="992">
      <c r="B992" s="50"/>
      <c r="C992" s="59"/>
      <c r="H992" s="52"/>
    </row>
    <row r="993">
      <c r="B993" s="50"/>
      <c r="C993" s="59"/>
      <c r="H993" s="52"/>
    </row>
    <row r="994">
      <c r="B994" s="50"/>
      <c r="C994" s="59"/>
      <c r="H994" s="52"/>
    </row>
    <row r="995">
      <c r="B995" s="50"/>
      <c r="C995" s="59"/>
      <c r="H995" s="52"/>
    </row>
    <row r="996">
      <c r="B996" s="50"/>
      <c r="C996" s="59"/>
      <c r="H996" s="52"/>
    </row>
    <row r="997">
      <c r="B997" s="50"/>
      <c r="C997" s="59"/>
      <c r="H997" s="52"/>
    </row>
    <row r="998">
      <c r="B998" s="50"/>
      <c r="C998" s="59"/>
      <c r="H998" s="52"/>
    </row>
    <row r="999">
      <c r="B999" s="50"/>
      <c r="C999" s="59"/>
      <c r="H999" s="52"/>
    </row>
    <row r="1000">
      <c r="B1000" s="50"/>
      <c r="C1000" s="59"/>
      <c r="H1000" s="52"/>
    </row>
  </sheetData>
  <mergeCells count="1">
    <mergeCell ref="I77:I83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  <col customWidth="1" min="18" max="18" width="22.43"/>
  </cols>
  <sheetData>
    <row r="1">
      <c r="C1" s="51" t="s">
        <v>43</v>
      </c>
      <c r="E1" s="42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4" t="s">
        <v>43</v>
      </c>
      <c r="J1" s="4" t="s">
        <v>152</v>
      </c>
      <c r="K1" s="49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  <c r="S1" t="s">
        <v>45</v>
      </c>
      <c r="T1" s="52" t="s">
        <v>46</v>
      </c>
      <c r="U1" s="4" t="s">
        <v>155</v>
      </c>
    </row>
    <row r="2">
      <c r="C2" s="59">
        <f t="shared" ref="C2:C108" si="1">B2-$B$109</f>
        <v>-0.05580574615</v>
      </c>
      <c r="E2" s="47">
        <v>39808.0</v>
      </c>
      <c r="F2" t="str">
        <f t="shared" ref="F2:F290" si="2">TEXT(E2, "YYYY-MM")</f>
        <v>2008-12</v>
      </c>
      <c r="G2" s="55" t="str">
        <f>IFERROR(__xludf.DUMMYFUNCTION("""COMPUTED_VALUE"""),"2008-12")</f>
        <v>2008-12</v>
      </c>
      <c r="H2" s="52">
        <f>IFERROR(__xludf.DUMMYFUNCTION("""COMPUTED_VALUE"""),1.0)</f>
        <v>1</v>
      </c>
      <c r="I2">
        <f t="shared" ref="I2:I92" si="3">LOOKUP(G2, $A$1:A$108,$C$1:$C$108)</f>
        <v>-0.05580574615</v>
      </c>
      <c r="J2" s="45">
        <v>0.0</v>
      </c>
      <c r="K2" t="str">
        <f>IFERROR(__xludf.DUMMYFUNCTION("""COMPUTED_VALUE"""),"2008-12")</f>
        <v>2008-12</v>
      </c>
      <c r="L2">
        <f>IFERROR(__xludf.DUMMYFUNCTION("""COMPUTED_VALUE"""),0.0)</f>
        <v>0</v>
      </c>
      <c r="S2" t="s">
        <v>156</v>
      </c>
      <c r="T2" s="52">
        <v>1.0</v>
      </c>
    </row>
    <row r="3">
      <c r="C3" s="59">
        <f t="shared" si="1"/>
        <v>-0.06525433368</v>
      </c>
      <c r="E3" s="47">
        <v>39830.0</v>
      </c>
      <c r="F3" t="str">
        <f t="shared" si="2"/>
        <v>2009-01</v>
      </c>
      <c r="G3" t="str">
        <f>IFERROR(__xludf.DUMMYFUNCTION("""COMPUTED_VALUE"""),"2009-01")</f>
        <v>2009-01</v>
      </c>
      <c r="H3" s="52">
        <f>IFERROR(__xludf.DUMMYFUNCTION("""COMPUTED_VALUE"""),1.0)</f>
        <v>1</v>
      </c>
      <c r="I3">
        <f t="shared" si="3"/>
        <v>-0.06525433368</v>
      </c>
      <c r="J3" s="45">
        <v>41.0</v>
      </c>
      <c r="K3" t="str">
        <f>IFERROR(__xludf.DUMMYFUNCTION("""COMPUTED_VALUE"""),"2009-01")</f>
        <v>2009-01</v>
      </c>
      <c r="L3">
        <f>IFERROR(__xludf.DUMMYFUNCTION("""COMPUTED_VALUE"""),41.0)</f>
        <v>41</v>
      </c>
      <c r="S3" t="s">
        <v>157</v>
      </c>
      <c r="T3" s="52">
        <v>1.0</v>
      </c>
      <c r="U3">
        <f t="shared" ref="U3:U92" si="4">I3-I2</f>
        <v>-0.009448587527</v>
      </c>
    </row>
    <row r="4">
      <c r="C4" s="59">
        <f t="shared" si="1"/>
        <v>-0.07483597833</v>
      </c>
      <c r="E4" s="47">
        <v>39892.0</v>
      </c>
      <c r="F4" t="str">
        <f t="shared" si="2"/>
        <v>2009-03</v>
      </c>
      <c r="G4" t="str">
        <f>IFERROR(__xludf.DUMMYFUNCTION("""COMPUTED_VALUE"""),"2009-03")</f>
        <v>2009-03</v>
      </c>
      <c r="H4" s="52">
        <f>IFERROR(__xludf.DUMMYFUNCTION("""COMPUTED_VALUE"""),1.0)</f>
        <v>1</v>
      </c>
      <c r="I4">
        <f t="shared" si="3"/>
        <v>-0.03891643084</v>
      </c>
      <c r="J4" s="45">
        <v>115.0</v>
      </c>
      <c r="K4" t="str">
        <f>IFERROR(__xludf.DUMMYFUNCTION("""COMPUTED_VALUE"""),"2009-03")</f>
        <v>2009-03</v>
      </c>
      <c r="L4">
        <f>IFERROR(__xludf.DUMMYFUNCTION("""COMPUTED_VALUE"""),115.0)</f>
        <v>115</v>
      </c>
      <c r="S4" t="s">
        <v>159</v>
      </c>
      <c r="T4" s="52">
        <v>1.0</v>
      </c>
      <c r="U4">
        <f t="shared" si="4"/>
        <v>0.02633790284</v>
      </c>
    </row>
    <row r="5">
      <c r="C5" s="59">
        <f t="shared" si="1"/>
        <v>-0.03891643084</v>
      </c>
      <c r="E5" s="47">
        <v>39938.0</v>
      </c>
      <c r="F5" t="str">
        <f t="shared" si="2"/>
        <v>2009-05</v>
      </c>
      <c r="G5" t="str">
        <f>IFERROR(__xludf.DUMMYFUNCTION("""COMPUTED_VALUE"""),"2009-05")</f>
        <v>2009-05</v>
      </c>
      <c r="H5" s="52">
        <f>IFERROR(__xludf.DUMMYFUNCTION("""COMPUTED_VALUE"""),1.0)</f>
        <v>1</v>
      </c>
      <c r="I5">
        <f t="shared" si="3"/>
        <v>-0.04270666342</v>
      </c>
      <c r="J5" s="45">
        <v>44.0</v>
      </c>
      <c r="K5" t="str">
        <f>IFERROR(__xludf.DUMMYFUNCTION("""COMPUTED_VALUE"""),"2009-05")</f>
        <v>2009-05</v>
      </c>
      <c r="L5">
        <f>IFERROR(__xludf.DUMMYFUNCTION("""COMPUTED_VALUE"""),44.0)</f>
        <v>44</v>
      </c>
      <c r="S5" t="s">
        <v>160</v>
      </c>
      <c r="T5" s="52">
        <v>1.0</v>
      </c>
      <c r="U5">
        <f t="shared" si="4"/>
        <v>-0.003790232576</v>
      </c>
    </row>
    <row r="6">
      <c r="C6" s="59">
        <f t="shared" si="1"/>
        <v>-0.03531923527</v>
      </c>
      <c r="E6" s="47">
        <v>40156.0</v>
      </c>
      <c r="F6" t="str">
        <f t="shared" si="2"/>
        <v>2009-12</v>
      </c>
      <c r="G6" t="str">
        <f>IFERROR(__xludf.DUMMYFUNCTION("""COMPUTED_VALUE"""),"2009-12")</f>
        <v>2009-12</v>
      </c>
      <c r="H6" s="52">
        <f>IFERROR(__xludf.DUMMYFUNCTION("""COMPUTED_VALUE"""),4.0)</f>
        <v>4</v>
      </c>
      <c r="I6">
        <f t="shared" si="3"/>
        <v>0.0169190524</v>
      </c>
      <c r="J6" s="45">
        <v>140.0</v>
      </c>
      <c r="K6" t="str">
        <f>IFERROR(__xludf.DUMMYFUNCTION("""COMPUTED_VALUE"""),"2009-12")</f>
        <v>2009-12</v>
      </c>
      <c r="L6">
        <f>IFERROR(__xludf.DUMMYFUNCTION("""COMPUTED_VALUE"""),2028.0)</f>
        <v>2028</v>
      </c>
      <c r="S6" t="s">
        <v>53</v>
      </c>
      <c r="T6" s="52">
        <v>4.0</v>
      </c>
      <c r="U6">
        <f t="shared" si="4"/>
        <v>0.05962571582</v>
      </c>
    </row>
    <row r="7">
      <c r="C7" s="59">
        <f t="shared" si="1"/>
        <v>-0.04270666342</v>
      </c>
      <c r="E7" s="47">
        <v>40156.0</v>
      </c>
      <c r="F7" t="str">
        <f t="shared" si="2"/>
        <v>2009-12</v>
      </c>
      <c r="G7" t="str">
        <f>IFERROR(__xludf.DUMMYFUNCTION("""COMPUTED_VALUE"""),"2010-01")</f>
        <v>2010-01</v>
      </c>
      <c r="H7" s="52">
        <f>IFERROR(__xludf.DUMMYFUNCTION("""COMPUTED_VALUE"""),2.0)</f>
        <v>2</v>
      </c>
      <c r="I7">
        <f t="shared" si="3"/>
        <v>0.02539155</v>
      </c>
      <c r="J7" s="45">
        <v>43.0</v>
      </c>
      <c r="K7" t="str">
        <f>IFERROR(__xludf.DUMMYFUNCTION("""COMPUTED_VALUE"""),"2010-01")</f>
        <v>2010-01</v>
      </c>
      <c r="L7">
        <f>IFERROR(__xludf.DUMMYFUNCTION("""COMPUTED_VALUE"""),897.0)</f>
        <v>897</v>
      </c>
      <c r="S7" t="s">
        <v>54</v>
      </c>
      <c r="T7" s="52">
        <v>2.0</v>
      </c>
      <c r="U7">
        <f t="shared" si="4"/>
        <v>0.008472497601</v>
      </c>
    </row>
    <row r="8">
      <c r="C8" s="59">
        <f t="shared" si="1"/>
        <v>-0.09666804773</v>
      </c>
      <c r="E8" s="47">
        <v>40208.0</v>
      </c>
      <c r="F8" t="str">
        <f t="shared" si="2"/>
        <v>2010-01</v>
      </c>
      <c r="G8" t="str">
        <f>IFERROR(__xludf.DUMMYFUNCTION("""COMPUTED_VALUE"""),"2010-03")</f>
        <v>2010-03</v>
      </c>
      <c r="H8" s="52">
        <f>IFERROR(__xludf.DUMMYFUNCTION("""COMPUTED_VALUE"""),3.0)</f>
        <v>3</v>
      </c>
      <c r="I8">
        <f t="shared" si="3"/>
        <v>0.01789571335</v>
      </c>
      <c r="J8" s="45">
        <v>192.0</v>
      </c>
      <c r="K8" t="str">
        <f>IFERROR(__xludf.DUMMYFUNCTION("""COMPUTED_VALUE"""),"2010-03")</f>
        <v>2010-03</v>
      </c>
      <c r="L8">
        <f>IFERROR(__xludf.DUMMYFUNCTION("""COMPUTED_VALUE"""),1684.0)</f>
        <v>1684</v>
      </c>
      <c r="S8" t="s">
        <v>56</v>
      </c>
      <c r="T8" s="52">
        <v>3.0</v>
      </c>
      <c r="U8">
        <f t="shared" si="4"/>
        <v>-0.007495836655</v>
      </c>
    </row>
    <row r="9">
      <c r="C9" s="59">
        <f t="shared" si="1"/>
        <v>0.0009172524806</v>
      </c>
      <c r="E9" s="47">
        <v>40291.0</v>
      </c>
      <c r="F9" t="str">
        <f t="shared" si="2"/>
        <v>2010-04</v>
      </c>
      <c r="G9" t="str">
        <f>IFERROR(__xludf.DUMMYFUNCTION("""COMPUTED_VALUE"""),"2010-04")</f>
        <v>2010-04</v>
      </c>
      <c r="H9" s="52">
        <f>IFERROR(__xludf.DUMMYFUNCTION("""COMPUTED_VALUE"""),3.0)</f>
        <v>3</v>
      </c>
      <c r="I9">
        <f t="shared" si="3"/>
        <v>-0.02361095807</v>
      </c>
      <c r="J9" s="45">
        <v>47.0</v>
      </c>
      <c r="K9" t="str">
        <f>IFERROR(__xludf.DUMMYFUNCTION("""COMPUTED_VALUE"""),"2010-04")</f>
        <v>2010-04</v>
      </c>
      <c r="L9">
        <f>IFERROR(__xludf.DUMMYFUNCTION("""COMPUTED_VALUE"""),621.0)</f>
        <v>621</v>
      </c>
      <c r="S9" t="s">
        <v>57</v>
      </c>
      <c r="T9" s="52">
        <v>3.0</v>
      </c>
      <c r="U9">
        <f t="shared" si="4"/>
        <v>-0.04150667142</v>
      </c>
    </row>
    <row r="10">
      <c r="C10" s="59">
        <f t="shared" si="1"/>
        <v>-0.04499825856</v>
      </c>
      <c r="E10" s="47">
        <v>40412.0</v>
      </c>
      <c r="F10" t="str">
        <f t="shared" si="2"/>
        <v>2010-08</v>
      </c>
      <c r="G10" t="str">
        <f>IFERROR(__xludf.DUMMYFUNCTION("""COMPUTED_VALUE"""),"2010-05")</f>
        <v>2010-05</v>
      </c>
      <c r="H10" s="52">
        <f>IFERROR(__xludf.DUMMYFUNCTION("""COMPUTED_VALUE"""),1.0)</f>
        <v>1</v>
      </c>
      <c r="I10">
        <f t="shared" si="3"/>
        <v>0.00114438607</v>
      </c>
      <c r="J10" s="45">
        <v>0.0</v>
      </c>
      <c r="K10" t="str">
        <f>IFERROR(__xludf.DUMMYFUNCTION("""COMPUTED_VALUE"""),"2010-05")</f>
        <v>2010-05</v>
      </c>
      <c r="L10">
        <f>IFERROR(__xludf.DUMMYFUNCTION("""COMPUTED_VALUE"""),79.0)</f>
        <v>79</v>
      </c>
      <c r="S10" t="s">
        <v>58</v>
      </c>
      <c r="T10" s="52">
        <v>1.0</v>
      </c>
      <c r="U10">
        <f t="shared" si="4"/>
        <v>0.02475534414</v>
      </c>
    </row>
    <row r="11">
      <c r="C11" s="59">
        <f t="shared" si="1"/>
        <v>-0.01573378281</v>
      </c>
      <c r="E11" s="47">
        <v>40496.0</v>
      </c>
      <c r="F11" t="str">
        <f t="shared" si="2"/>
        <v>2010-11</v>
      </c>
      <c r="G11" t="str">
        <f>IFERROR(__xludf.DUMMYFUNCTION("""COMPUTED_VALUE"""),"2010-06")</f>
        <v>2010-06</v>
      </c>
      <c r="H11" s="52">
        <f>IFERROR(__xludf.DUMMYFUNCTION("""COMPUTED_VALUE"""),1.0)</f>
        <v>1</v>
      </c>
      <c r="I11">
        <f t="shared" si="3"/>
        <v>-0.02638691169</v>
      </c>
      <c r="J11" s="45">
        <v>0.0</v>
      </c>
      <c r="K11" t="str">
        <f>IFERROR(__xludf.DUMMYFUNCTION("""COMPUTED_VALUE"""),"2010-06")</f>
        <v>2010-06</v>
      </c>
      <c r="L11">
        <f>IFERROR(__xludf.DUMMYFUNCTION("""COMPUTED_VALUE"""),17.0)</f>
        <v>17</v>
      </c>
      <c r="S11" t="s">
        <v>59</v>
      </c>
      <c r="T11" s="52">
        <v>1.0</v>
      </c>
      <c r="U11">
        <f t="shared" si="4"/>
        <v>-0.02753129776</v>
      </c>
    </row>
    <row r="12">
      <c r="C12" s="59">
        <f t="shared" si="1"/>
        <v>0.007170088922</v>
      </c>
      <c r="E12" s="47">
        <v>40622.0</v>
      </c>
      <c r="F12" t="str">
        <f t="shared" si="2"/>
        <v>2011-03</v>
      </c>
      <c r="G12" t="str">
        <f>IFERROR(__xludf.DUMMYFUNCTION("""COMPUTED_VALUE"""),"2010-07")</f>
        <v>2010-07</v>
      </c>
      <c r="H12" s="52">
        <f>IFERROR(__xludf.DUMMYFUNCTION("""COMPUTED_VALUE"""),1.0)</f>
        <v>1</v>
      </c>
      <c r="I12">
        <f t="shared" si="3"/>
        <v>0.05404891577</v>
      </c>
      <c r="J12" s="45">
        <v>0.0</v>
      </c>
      <c r="K12" t="str">
        <f>IFERROR(__xludf.DUMMYFUNCTION("""COMPUTED_VALUE"""),"2010-07")</f>
        <v>2010-07</v>
      </c>
      <c r="L12">
        <f>IFERROR(__xludf.DUMMYFUNCTION("""COMPUTED_VALUE"""),56.0)</f>
        <v>56</v>
      </c>
      <c r="S12" t="s">
        <v>60</v>
      </c>
      <c r="T12" s="52">
        <v>1.0</v>
      </c>
      <c r="U12">
        <f t="shared" si="4"/>
        <v>0.08043582746</v>
      </c>
    </row>
    <row r="13">
      <c r="C13" s="59">
        <f t="shared" si="1"/>
        <v>-0.02157575298</v>
      </c>
      <c r="E13" s="47">
        <v>40804.0</v>
      </c>
      <c r="F13" t="str">
        <f t="shared" si="2"/>
        <v>2011-09</v>
      </c>
      <c r="G13" t="str">
        <f>IFERROR(__xludf.DUMMYFUNCTION("""COMPUTED_VALUE"""),"2010-08")</f>
        <v>2010-08</v>
      </c>
      <c r="H13" s="52">
        <f>IFERROR(__xludf.DUMMYFUNCTION("""COMPUTED_VALUE"""),1.0)</f>
        <v>1</v>
      </c>
      <c r="I13">
        <f t="shared" si="3"/>
        <v>0.009806658209</v>
      </c>
      <c r="J13" s="45">
        <v>0.0</v>
      </c>
      <c r="K13" t="str">
        <f>IFERROR(__xludf.DUMMYFUNCTION("""COMPUTED_VALUE"""),"2010-08")</f>
        <v>2010-08</v>
      </c>
      <c r="L13">
        <f>IFERROR(__xludf.DUMMYFUNCTION("""COMPUTED_VALUE"""),0.0)</f>
        <v>0</v>
      </c>
      <c r="S13" t="s">
        <v>61</v>
      </c>
      <c r="T13" s="52">
        <v>1.0</v>
      </c>
      <c r="U13">
        <f t="shared" si="4"/>
        <v>-0.04424225756</v>
      </c>
    </row>
    <row r="14">
      <c r="C14" s="59">
        <f t="shared" si="1"/>
        <v>0.0169190524</v>
      </c>
      <c r="E14" s="47">
        <v>41393.0</v>
      </c>
      <c r="F14" t="str">
        <f t="shared" si="2"/>
        <v>2013-04</v>
      </c>
      <c r="G14" t="str">
        <f>IFERROR(__xludf.DUMMYFUNCTION("""COMPUTED_VALUE"""),"2010-09")</f>
        <v>2010-09</v>
      </c>
      <c r="H14" s="52">
        <f>IFERROR(__xludf.DUMMYFUNCTION("""COMPUTED_VALUE"""),1.0)</f>
        <v>1</v>
      </c>
      <c r="I14">
        <f t="shared" si="3"/>
        <v>-0.001332428641</v>
      </c>
      <c r="J14" s="45">
        <v>0.0</v>
      </c>
      <c r="K14" t="str">
        <f>IFERROR(__xludf.DUMMYFUNCTION("""COMPUTED_VALUE"""),"2010-09")</f>
        <v>2010-09</v>
      </c>
      <c r="L14">
        <f>IFERROR(__xludf.DUMMYFUNCTION("""COMPUTED_VALUE"""),80.0)</f>
        <v>80</v>
      </c>
      <c r="S14" t="s">
        <v>62</v>
      </c>
      <c r="T14" s="52">
        <v>1.0</v>
      </c>
      <c r="U14">
        <f t="shared" si="4"/>
        <v>-0.01113908685</v>
      </c>
    </row>
    <row r="15">
      <c r="C15" s="59">
        <f t="shared" si="1"/>
        <v>0.02539155</v>
      </c>
      <c r="E15" s="47">
        <v>40156.0</v>
      </c>
      <c r="F15" t="str">
        <f t="shared" si="2"/>
        <v>2009-12</v>
      </c>
      <c r="G15" t="str">
        <f>IFERROR(__xludf.DUMMYFUNCTION("""COMPUTED_VALUE"""),"2010-10")</f>
        <v>2010-10</v>
      </c>
      <c r="H15" s="52">
        <f>IFERROR(__xludf.DUMMYFUNCTION("""COMPUTED_VALUE"""),1.0)</f>
        <v>1</v>
      </c>
      <c r="I15">
        <f t="shared" si="3"/>
        <v>-0.004093764304</v>
      </c>
      <c r="J15" s="45">
        <v>628.0</v>
      </c>
      <c r="K15" t="str">
        <f>IFERROR(__xludf.DUMMYFUNCTION("""COMPUTED_VALUE"""),"2010-10")</f>
        <v>2010-10</v>
      </c>
      <c r="L15">
        <f>IFERROR(__xludf.DUMMYFUNCTION("""COMPUTED_VALUE"""),59.0)</f>
        <v>59</v>
      </c>
      <c r="S15" t="s">
        <v>63</v>
      </c>
      <c r="T15" s="52">
        <v>1.0</v>
      </c>
      <c r="U15">
        <f t="shared" si="4"/>
        <v>-0.002761335662</v>
      </c>
    </row>
    <row r="16">
      <c r="C16" s="59">
        <f t="shared" si="1"/>
        <v>-0.01741761772</v>
      </c>
      <c r="E16" s="47">
        <v>40238.0</v>
      </c>
      <c r="F16" t="str">
        <f t="shared" si="2"/>
        <v>2010-03</v>
      </c>
      <c r="G16" t="str">
        <f>IFERROR(__xludf.DUMMYFUNCTION("""COMPUTED_VALUE"""),"2010-11")</f>
        <v>2010-11</v>
      </c>
      <c r="H16" s="52">
        <f>IFERROR(__xludf.DUMMYFUNCTION("""COMPUTED_VALUE"""),2.0)</f>
        <v>2</v>
      </c>
      <c r="I16">
        <f t="shared" si="3"/>
        <v>0.004157034916</v>
      </c>
      <c r="J16" s="45">
        <v>1537.0</v>
      </c>
      <c r="K16" t="str">
        <f>IFERROR(__xludf.DUMMYFUNCTION("""COMPUTED_VALUE"""),"2010-11")</f>
        <v>2010-11</v>
      </c>
      <c r="L16">
        <f>IFERROR(__xludf.DUMMYFUNCTION("""COMPUTED_VALUE"""),30.0)</f>
        <v>30</v>
      </c>
      <c r="S16" t="s">
        <v>64</v>
      </c>
      <c r="T16" s="52">
        <v>2.0</v>
      </c>
      <c r="U16">
        <f t="shared" si="4"/>
        <v>0.008250799219</v>
      </c>
    </row>
    <row r="17">
      <c r="C17" s="59">
        <f t="shared" si="1"/>
        <v>0.01789571335</v>
      </c>
      <c r="E17" s="47">
        <v>40251.0</v>
      </c>
      <c r="F17" t="str">
        <f t="shared" si="2"/>
        <v>2010-03</v>
      </c>
      <c r="G17" t="str">
        <f>IFERROR(__xludf.DUMMYFUNCTION("""COMPUTED_VALUE"""),"2010-12")</f>
        <v>2010-12</v>
      </c>
      <c r="H17" s="52">
        <f>IFERROR(__xludf.DUMMYFUNCTION("""COMPUTED_VALUE"""),1.0)</f>
        <v>1</v>
      </c>
      <c r="I17">
        <f t="shared" si="3"/>
        <v>-0.01423893165</v>
      </c>
      <c r="J17" s="45">
        <v>55.0</v>
      </c>
      <c r="K17" t="str">
        <f>IFERROR(__xludf.DUMMYFUNCTION("""COMPUTED_VALUE"""),"2010-12")</f>
        <v>2010-12</v>
      </c>
      <c r="L17">
        <f>IFERROR(__xludf.DUMMYFUNCTION("""COMPUTED_VALUE"""),1832.0)</f>
        <v>1832</v>
      </c>
      <c r="S17" t="s">
        <v>65</v>
      </c>
      <c r="T17" s="52">
        <v>1.0</v>
      </c>
      <c r="U17">
        <f t="shared" si="4"/>
        <v>-0.01839596656</v>
      </c>
    </row>
    <row r="18">
      <c r="C18" s="59">
        <f t="shared" si="1"/>
        <v>-0.02361095807</v>
      </c>
      <c r="E18" s="47">
        <v>40265.0</v>
      </c>
      <c r="F18" t="str">
        <f t="shared" si="2"/>
        <v>2010-03</v>
      </c>
      <c r="G18" t="str">
        <f>IFERROR(__xludf.DUMMYFUNCTION("""COMPUTED_VALUE"""),"2011-01")</f>
        <v>2011-01</v>
      </c>
      <c r="H18" s="52">
        <f>IFERROR(__xludf.DUMMYFUNCTION("""COMPUTED_VALUE"""),1.0)</f>
        <v>1</v>
      </c>
      <c r="I18">
        <f t="shared" si="3"/>
        <v>-0.02274757827</v>
      </c>
      <c r="J18" s="45">
        <v>92.0</v>
      </c>
      <c r="K18" t="str">
        <f>IFERROR(__xludf.DUMMYFUNCTION("""COMPUTED_VALUE"""),"2011-01")</f>
        <v>2011-01</v>
      </c>
      <c r="L18">
        <f>IFERROR(__xludf.DUMMYFUNCTION("""COMPUTED_VALUE"""),62.0)</f>
        <v>62</v>
      </c>
      <c r="S18" t="s">
        <v>66</v>
      </c>
      <c r="T18" s="52">
        <v>1.0</v>
      </c>
      <c r="U18">
        <f t="shared" si="4"/>
        <v>-0.00850864662</v>
      </c>
    </row>
    <row r="19">
      <c r="C19" s="59">
        <f t="shared" si="1"/>
        <v>0.00114438607</v>
      </c>
      <c r="E19" s="47">
        <v>40281.0</v>
      </c>
      <c r="F19" t="str">
        <f t="shared" si="2"/>
        <v>2010-04</v>
      </c>
      <c r="G19" t="str">
        <f>IFERROR(__xludf.DUMMYFUNCTION("""COMPUTED_VALUE"""),"2011-03")</f>
        <v>2011-03</v>
      </c>
      <c r="H19" s="52">
        <f>IFERROR(__xludf.DUMMYFUNCTION("""COMPUTED_VALUE"""),2.0)</f>
        <v>2</v>
      </c>
      <c r="I19">
        <f t="shared" si="3"/>
        <v>0.001242529538</v>
      </c>
      <c r="J19" s="45">
        <v>69.0</v>
      </c>
      <c r="K19" t="str">
        <f>IFERROR(__xludf.DUMMYFUNCTION("""COMPUTED_VALUE"""),"2011-03")</f>
        <v>2011-03</v>
      </c>
      <c r="L19">
        <f>IFERROR(__xludf.DUMMYFUNCTION("""COMPUTED_VALUE"""),49.0)</f>
        <v>49</v>
      </c>
      <c r="S19" t="s">
        <v>68</v>
      </c>
      <c r="T19" s="52">
        <v>2.0</v>
      </c>
      <c r="U19">
        <f t="shared" si="4"/>
        <v>0.0239901078</v>
      </c>
    </row>
    <row r="20">
      <c r="C20" s="59">
        <f t="shared" si="1"/>
        <v>-0.02638691169</v>
      </c>
      <c r="E20" s="47">
        <v>40156.0</v>
      </c>
      <c r="F20" t="str">
        <f t="shared" si="2"/>
        <v>2009-12</v>
      </c>
      <c r="G20" t="str">
        <f>IFERROR(__xludf.DUMMYFUNCTION("""COMPUTED_VALUE"""),"2011-05")</f>
        <v>2011-05</v>
      </c>
      <c r="H20" s="52">
        <f>IFERROR(__xludf.DUMMYFUNCTION("""COMPUTED_VALUE"""),3.0)</f>
        <v>3</v>
      </c>
      <c r="I20">
        <f t="shared" si="3"/>
        <v>0.02248699686</v>
      </c>
      <c r="J20" s="45">
        <v>1217.0</v>
      </c>
      <c r="K20" t="str">
        <f>IFERROR(__xludf.DUMMYFUNCTION("""COMPUTED_VALUE"""),"2011-05")</f>
        <v>2011-05</v>
      </c>
      <c r="L20">
        <f>IFERROR(__xludf.DUMMYFUNCTION("""COMPUTED_VALUE"""),3076.0)</f>
        <v>3076</v>
      </c>
      <c r="S20" t="s">
        <v>70</v>
      </c>
      <c r="T20" s="52">
        <v>3.0</v>
      </c>
      <c r="U20">
        <f t="shared" si="4"/>
        <v>0.02124446732</v>
      </c>
    </row>
    <row r="21">
      <c r="C21" s="59">
        <f t="shared" si="1"/>
        <v>0.05404891577</v>
      </c>
      <c r="E21" s="47">
        <v>40195.0</v>
      </c>
      <c r="F21" t="str">
        <f t="shared" si="2"/>
        <v>2010-01</v>
      </c>
      <c r="G21" t="str">
        <f>IFERROR(__xludf.DUMMYFUNCTION("""COMPUTED_VALUE"""),"2011-07")</f>
        <v>2011-07</v>
      </c>
      <c r="H21" s="52">
        <f>IFERROR(__xludf.DUMMYFUNCTION("""COMPUTED_VALUE"""),2.0)</f>
        <v>2</v>
      </c>
      <c r="I21">
        <f t="shared" si="3"/>
        <v>-0.004841808593</v>
      </c>
      <c r="J21" s="45">
        <v>705.0</v>
      </c>
      <c r="K21" t="str">
        <f>IFERROR(__xludf.DUMMYFUNCTION("""COMPUTED_VALUE"""),"2011-07")</f>
        <v>2011-07</v>
      </c>
      <c r="L21">
        <f>IFERROR(__xludf.DUMMYFUNCTION("""COMPUTED_VALUE"""),480.0)</f>
        <v>480</v>
      </c>
      <c r="S21" t="s">
        <v>72</v>
      </c>
      <c r="T21" s="52">
        <v>2.0</v>
      </c>
      <c r="U21">
        <f t="shared" si="4"/>
        <v>-0.02732880545</v>
      </c>
    </row>
    <row r="22">
      <c r="C22" s="59">
        <f t="shared" si="1"/>
        <v>0.009806658209</v>
      </c>
      <c r="E22" s="47">
        <v>40293.0</v>
      </c>
      <c r="F22" t="str">
        <f t="shared" si="2"/>
        <v>2010-04</v>
      </c>
      <c r="G22" t="str">
        <f>IFERROR(__xludf.DUMMYFUNCTION("""COMPUTED_VALUE"""),"2011-09")</f>
        <v>2011-09</v>
      </c>
      <c r="H22" s="52">
        <f>IFERROR(__xludf.DUMMYFUNCTION("""COMPUTED_VALUE"""),4.0)</f>
        <v>4</v>
      </c>
      <c r="I22">
        <f t="shared" si="3"/>
        <v>-0.0134458891</v>
      </c>
      <c r="J22" s="45">
        <v>505.0</v>
      </c>
      <c r="K22" t="str">
        <f>IFERROR(__xludf.DUMMYFUNCTION("""COMPUTED_VALUE"""),"2011-09")</f>
        <v>2011-09</v>
      </c>
      <c r="L22">
        <f>IFERROR(__xludf.DUMMYFUNCTION("""COMPUTED_VALUE"""),3701.0)</f>
        <v>3701</v>
      </c>
      <c r="S22" t="s">
        <v>74</v>
      </c>
      <c r="T22" s="52">
        <v>4.0</v>
      </c>
      <c r="U22">
        <f t="shared" si="4"/>
        <v>-0.008604080509</v>
      </c>
    </row>
    <row r="23">
      <c r="C23" s="59">
        <f t="shared" si="1"/>
        <v>-0.001332428641</v>
      </c>
      <c r="E23" s="47">
        <v>40327.0</v>
      </c>
      <c r="F23" t="str">
        <f t="shared" si="2"/>
        <v>2010-05</v>
      </c>
      <c r="G23" t="str">
        <f>IFERROR(__xludf.DUMMYFUNCTION("""COMPUTED_VALUE"""),"2011-10")</f>
        <v>2011-10</v>
      </c>
      <c r="H23" s="52">
        <f>IFERROR(__xludf.DUMMYFUNCTION("""COMPUTED_VALUE"""),4.0)</f>
        <v>4</v>
      </c>
      <c r="I23">
        <f t="shared" si="3"/>
        <v>0.03151609773</v>
      </c>
      <c r="J23" s="45">
        <v>79.0</v>
      </c>
      <c r="K23" t="str">
        <f>IFERROR(__xludf.DUMMYFUNCTION("""COMPUTED_VALUE"""),"2011-10")</f>
        <v>2011-10</v>
      </c>
      <c r="L23">
        <f>IFERROR(__xludf.DUMMYFUNCTION("""COMPUTED_VALUE"""),778.0)</f>
        <v>778</v>
      </c>
      <c r="S23" t="s">
        <v>75</v>
      </c>
      <c r="T23" s="52">
        <v>4.0</v>
      </c>
      <c r="U23">
        <f t="shared" si="4"/>
        <v>0.04496198684</v>
      </c>
    </row>
    <row r="24">
      <c r="C24" s="59">
        <f t="shared" si="1"/>
        <v>-0.004093764304</v>
      </c>
      <c r="E24" s="47">
        <v>40335.0</v>
      </c>
      <c r="F24" t="str">
        <f t="shared" si="2"/>
        <v>2010-06</v>
      </c>
      <c r="G24" t="str">
        <f>IFERROR(__xludf.DUMMYFUNCTION("""COMPUTED_VALUE"""),"2011-11")</f>
        <v>2011-11</v>
      </c>
      <c r="H24" s="52">
        <f>IFERROR(__xludf.DUMMYFUNCTION("""COMPUTED_VALUE"""),3.0)</f>
        <v>3</v>
      </c>
      <c r="I24">
        <f t="shared" si="3"/>
        <v>0.00452547936</v>
      </c>
      <c r="J24" s="45">
        <v>17.0</v>
      </c>
      <c r="K24" t="str">
        <f>IFERROR(__xludf.DUMMYFUNCTION("""COMPUTED_VALUE"""),"2011-11")</f>
        <v>2011-11</v>
      </c>
      <c r="L24">
        <f>IFERROR(__xludf.DUMMYFUNCTION("""COMPUTED_VALUE"""),177.0)</f>
        <v>177</v>
      </c>
      <c r="S24" t="s">
        <v>76</v>
      </c>
      <c r="T24" s="52">
        <v>3.0</v>
      </c>
      <c r="U24">
        <f t="shared" si="4"/>
        <v>-0.02699061837</v>
      </c>
    </row>
    <row r="25">
      <c r="C25" s="59">
        <f t="shared" si="1"/>
        <v>0.004157034916</v>
      </c>
      <c r="E25" s="47">
        <v>40378.0</v>
      </c>
      <c r="F25" t="str">
        <f t="shared" si="2"/>
        <v>2010-07</v>
      </c>
      <c r="G25" t="str">
        <f>IFERROR(__xludf.DUMMYFUNCTION("""COMPUTED_VALUE"""),"2011-12")</f>
        <v>2011-12</v>
      </c>
      <c r="H25" s="52">
        <f>IFERROR(__xludf.DUMMYFUNCTION("""COMPUTED_VALUE"""),2.0)</f>
        <v>2</v>
      </c>
      <c r="I25">
        <f t="shared" si="3"/>
        <v>-0.04932091654</v>
      </c>
      <c r="J25" s="45">
        <v>56.0</v>
      </c>
      <c r="K25" t="str">
        <f>IFERROR(__xludf.DUMMYFUNCTION("""COMPUTED_VALUE"""),"2011-12")</f>
        <v>2011-12</v>
      </c>
      <c r="L25">
        <f>IFERROR(__xludf.DUMMYFUNCTION("""COMPUTED_VALUE"""),133.0)</f>
        <v>133</v>
      </c>
      <c r="S25" t="s">
        <v>77</v>
      </c>
      <c r="T25" s="52">
        <v>2.0</v>
      </c>
      <c r="U25">
        <f t="shared" si="4"/>
        <v>-0.0538463959</v>
      </c>
    </row>
    <row r="26">
      <c r="C26" s="59">
        <f t="shared" si="1"/>
        <v>-0.01423893165</v>
      </c>
      <c r="E26" s="47">
        <v>40433.0</v>
      </c>
      <c r="F26" t="str">
        <f t="shared" si="2"/>
        <v>2010-09</v>
      </c>
      <c r="G26" t="str">
        <f>IFERROR(__xludf.DUMMYFUNCTION("""COMPUTED_VALUE"""),"2012-01")</f>
        <v>2012-01</v>
      </c>
      <c r="H26" s="52">
        <f>IFERROR(__xludf.DUMMYFUNCTION("""COMPUTED_VALUE"""),2.0)</f>
        <v>2</v>
      </c>
      <c r="I26">
        <f t="shared" si="3"/>
        <v>0.04961371319</v>
      </c>
      <c r="J26" s="45">
        <v>80.0</v>
      </c>
      <c r="K26" t="str">
        <f>IFERROR(__xludf.DUMMYFUNCTION("""COMPUTED_VALUE"""),"2012-01")</f>
        <v>2012-01</v>
      </c>
      <c r="L26">
        <f>IFERROR(__xludf.DUMMYFUNCTION("""COMPUTED_VALUE"""),436.0)</f>
        <v>436</v>
      </c>
      <c r="S26" t="s">
        <v>78</v>
      </c>
      <c r="T26" s="52">
        <v>2.0</v>
      </c>
      <c r="U26">
        <f t="shared" si="4"/>
        <v>0.09893462973</v>
      </c>
    </row>
    <row r="27">
      <c r="C27" s="59">
        <f t="shared" si="1"/>
        <v>-0.02274757827</v>
      </c>
      <c r="E27" s="47">
        <v>40475.0</v>
      </c>
      <c r="F27" t="str">
        <f t="shared" si="2"/>
        <v>2010-10</v>
      </c>
      <c r="G27" t="str">
        <f>IFERROR(__xludf.DUMMYFUNCTION("""COMPUTED_VALUE"""),"2012-02")</f>
        <v>2012-02</v>
      </c>
      <c r="H27" s="52">
        <f>IFERROR(__xludf.DUMMYFUNCTION("""COMPUTED_VALUE"""),2.0)</f>
        <v>2</v>
      </c>
      <c r="I27">
        <f t="shared" si="3"/>
        <v>0.006646836216</v>
      </c>
      <c r="J27" s="45">
        <v>59.0</v>
      </c>
      <c r="K27" t="str">
        <f>IFERROR(__xludf.DUMMYFUNCTION("""COMPUTED_VALUE"""),"2012-02")</f>
        <v>2012-02</v>
      </c>
      <c r="L27">
        <f>IFERROR(__xludf.DUMMYFUNCTION("""COMPUTED_VALUE"""),661.0)</f>
        <v>661</v>
      </c>
      <c r="S27" t="s">
        <v>79</v>
      </c>
      <c r="T27" s="52">
        <v>2.0</v>
      </c>
      <c r="U27">
        <f t="shared" si="4"/>
        <v>-0.04296687698</v>
      </c>
    </row>
    <row r="28">
      <c r="C28" s="59">
        <f t="shared" si="1"/>
        <v>0.002822321767</v>
      </c>
      <c r="E28" s="47">
        <v>40496.0</v>
      </c>
      <c r="F28" t="str">
        <f t="shared" si="2"/>
        <v>2010-11</v>
      </c>
      <c r="G28" t="str">
        <f>IFERROR(__xludf.DUMMYFUNCTION("""COMPUTED_VALUE"""),"2012-03")</f>
        <v>2012-03</v>
      </c>
      <c r="H28" s="52">
        <f>IFERROR(__xludf.DUMMYFUNCTION("""COMPUTED_VALUE"""),3.0)</f>
        <v>3</v>
      </c>
      <c r="I28">
        <f t="shared" si="3"/>
        <v>-0.0249841699</v>
      </c>
      <c r="J28" s="45">
        <v>30.0</v>
      </c>
      <c r="K28" t="str">
        <f>IFERROR(__xludf.DUMMYFUNCTION("""COMPUTED_VALUE"""),"2012-03")</f>
        <v>2012-03</v>
      </c>
      <c r="L28">
        <f>IFERROR(__xludf.DUMMYFUNCTION("""COMPUTED_VALUE"""),468.0)</f>
        <v>468</v>
      </c>
      <c r="S28" t="s">
        <v>80</v>
      </c>
      <c r="T28" s="52">
        <v>3.0</v>
      </c>
      <c r="U28">
        <f t="shared" si="4"/>
        <v>-0.03163100611</v>
      </c>
    </row>
    <row r="29">
      <c r="C29" s="59">
        <f t="shared" si="1"/>
        <v>0.001242529538</v>
      </c>
      <c r="E29" s="47">
        <v>40563.0</v>
      </c>
      <c r="F29" t="str">
        <f t="shared" si="2"/>
        <v>2011-01</v>
      </c>
      <c r="G29" t="str">
        <f>IFERROR(__xludf.DUMMYFUNCTION("""COMPUTED_VALUE"""),"2012-04")</f>
        <v>2012-04</v>
      </c>
      <c r="H29" s="52">
        <f>IFERROR(__xludf.DUMMYFUNCTION("""COMPUTED_VALUE"""),2.0)</f>
        <v>2</v>
      </c>
      <c r="I29">
        <f t="shared" si="3"/>
        <v>0.003737606301</v>
      </c>
      <c r="J29" s="45">
        <v>62.0</v>
      </c>
      <c r="K29" t="str">
        <f>IFERROR(__xludf.DUMMYFUNCTION("""COMPUTED_VALUE"""),"2012-04")</f>
        <v>2012-04</v>
      </c>
      <c r="L29">
        <f>IFERROR(__xludf.DUMMYFUNCTION("""COMPUTED_VALUE"""),454.0)</f>
        <v>454</v>
      </c>
      <c r="S29" t="s">
        <v>81</v>
      </c>
      <c r="T29" s="52">
        <v>2.0</v>
      </c>
      <c r="U29">
        <f t="shared" si="4"/>
        <v>0.0287217762</v>
      </c>
    </row>
    <row r="30">
      <c r="C30" s="59">
        <f t="shared" si="1"/>
        <v>0.001981172362</v>
      </c>
      <c r="E30" s="47">
        <v>40622.0</v>
      </c>
      <c r="F30" t="str">
        <f t="shared" si="2"/>
        <v>2011-03</v>
      </c>
      <c r="G30" t="str">
        <f>IFERROR(__xludf.DUMMYFUNCTION("""COMPUTED_VALUE"""),"2012-05")</f>
        <v>2012-05</v>
      </c>
      <c r="H30" s="52">
        <f>IFERROR(__xludf.DUMMYFUNCTION("""COMPUTED_VALUE"""),2.0)</f>
        <v>2</v>
      </c>
      <c r="I30">
        <f t="shared" si="3"/>
        <v>0.04532763925</v>
      </c>
      <c r="J30" s="45">
        <v>49.0</v>
      </c>
      <c r="K30" t="str">
        <f>IFERROR(__xludf.DUMMYFUNCTION("""COMPUTED_VALUE"""),"2012-05")</f>
        <v>2012-05</v>
      </c>
      <c r="L30">
        <f>IFERROR(__xludf.DUMMYFUNCTION("""COMPUTED_VALUE"""),533.0)</f>
        <v>533</v>
      </c>
      <c r="S30" t="s">
        <v>82</v>
      </c>
      <c r="T30" s="52">
        <v>2.0</v>
      </c>
      <c r="U30">
        <f t="shared" si="4"/>
        <v>0.04159003295</v>
      </c>
    </row>
    <row r="31">
      <c r="C31" s="59">
        <f t="shared" si="1"/>
        <v>0.02248699686</v>
      </c>
      <c r="E31" s="47">
        <v>40684.0</v>
      </c>
      <c r="F31" t="str">
        <f t="shared" si="2"/>
        <v>2011-05</v>
      </c>
      <c r="G31" t="str">
        <f>IFERROR(__xludf.DUMMYFUNCTION("""COMPUTED_VALUE"""),"2012-06")</f>
        <v>2012-06</v>
      </c>
      <c r="H31" s="52">
        <f>IFERROR(__xludf.DUMMYFUNCTION("""COMPUTED_VALUE"""),1.0)</f>
        <v>1</v>
      </c>
      <c r="I31">
        <f t="shared" si="3"/>
        <v>-0.008486330937</v>
      </c>
      <c r="J31" s="45">
        <v>69.0</v>
      </c>
      <c r="K31" t="str">
        <f>IFERROR(__xludf.DUMMYFUNCTION("""COMPUTED_VALUE"""),"2012-06")</f>
        <v>2012-06</v>
      </c>
      <c r="L31">
        <f>IFERROR(__xludf.DUMMYFUNCTION("""COMPUTED_VALUE"""),133.0)</f>
        <v>133</v>
      </c>
      <c r="S31" t="s">
        <v>83</v>
      </c>
      <c r="T31" s="52">
        <v>1.0</v>
      </c>
      <c r="U31">
        <f t="shared" si="4"/>
        <v>-0.05381397018</v>
      </c>
    </row>
    <row r="32">
      <c r="C32" s="59">
        <f t="shared" si="1"/>
        <v>0.01830009395</v>
      </c>
      <c r="E32" s="47">
        <v>40693.0</v>
      </c>
      <c r="F32" t="str">
        <f t="shared" si="2"/>
        <v>2011-05</v>
      </c>
      <c r="G32" t="str">
        <f>IFERROR(__xludf.DUMMYFUNCTION("""COMPUTED_VALUE"""),"2012-07")</f>
        <v>2012-07</v>
      </c>
      <c r="H32" s="52">
        <f>IFERROR(__xludf.DUMMYFUNCTION("""COMPUTED_VALUE"""),4.0)</f>
        <v>4</v>
      </c>
      <c r="I32">
        <f t="shared" si="3"/>
        <v>0.05830528025</v>
      </c>
      <c r="J32" s="45">
        <v>11.0</v>
      </c>
      <c r="K32" t="str">
        <f>IFERROR(__xludf.DUMMYFUNCTION("""COMPUTED_VALUE"""),"2012-07")</f>
        <v>2012-07</v>
      </c>
      <c r="L32">
        <f>IFERROR(__xludf.DUMMYFUNCTION("""COMPUTED_VALUE"""),471.0)</f>
        <v>471</v>
      </c>
      <c r="S32" t="s">
        <v>84</v>
      </c>
      <c r="T32" s="52">
        <v>4.0</v>
      </c>
      <c r="U32">
        <f t="shared" si="4"/>
        <v>0.06679161119</v>
      </c>
    </row>
    <row r="33">
      <c r="C33" s="59">
        <f t="shared" si="1"/>
        <v>-0.004841808593</v>
      </c>
      <c r="E33" s="47">
        <v>40750.0</v>
      </c>
      <c r="F33" t="str">
        <f t="shared" si="2"/>
        <v>2011-07</v>
      </c>
      <c r="G33" t="str">
        <f>IFERROR(__xludf.DUMMYFUNCTION("""COMPUTED_VALUE"""),"2012-09")</f>
        <v>2012-09</v>
      </c>
      <c r="H33" s="52">
        <f>IFERROR(__xludf.DUMMYFUNCTION("""COMPUTED_VALUE"""),1.0)</f>
        <v>1</v>
      </c>
      <c r="I33">
        <f t="shared" si="3"/>
        <v>-0.01442533413</v>
      </c>
      <c r="J33" s="45">
        <v>31.0</v>
      </c>
      <c r="K33" t="str">
        <f>IFERROR(__xludf.DUMMYFUNCTION("""COMPUTED_VALUE"""),"2012-09")</f>
        <v>2012-09</v>
      </c>
      <c r="L33">
        <f>IFERROR(__xludf.DUMMYFUNCTION("""COMPUTED_VALUE"""),116.0)</f>
        <v>116</v>
      </c>
      <c r="S33" t="s">
        <v>86</v>
      </c>
      <c r="T33" s="52">
        <v>1.0</v>
      </c>
      <c r="U33">
        <f t="shared" si="4"/>
        <v>-0.07273061438</v>
      </c>
    </row>
    <row r="34">
      <c r="C34" s="59">
        <f t="shared" si="1"/>
        <v>-0.00719805097</v>
      </c>
      <c r="E34" s="47">
        <v>40804.0</v>
      </c>
      <c r="F34" t="str">
        <f t="shared" si="2"/>
        <v>2011-09</v>
      </c>
      <c r="G34" t="str">
        <f>IFERROR(__xludf.DUMMYFUNCTION("""COMPUTED_VALUE"""),"2012-10")</f>
        <v>2012-10</v>
      </c>
      <c r="H34" s="52">
        <f>IFERROR(__xludf.DUMMYFUNCTION("""COMPUTED_VALUE"""),2.0)</f>
        <v>2</v>
      </c>
      <c r="I34">
        <f t="shared" si="3"/>
        <v>0.01222650577</v>
      </c>
      <c r="J34" s="45">
        <v>56.0</v>
      </c>
      <c r="K34" t="str">
        <f>IFERROR(__xludf.DUMMYFUNCTION("""COMPUTED_VALUE"""),"2012-10")</f>
        <v>2012-10</v>
      </c>
      <c r="L34">
        <f>IFERROR(__xludf.DUMMYFUNCTION("""COMPUTED_VALUE"""),453.0)</f>
        <v>453</v>
      </c>
      <c r="S34" t="s">
        <v>87</v>
      </c>
      <c r="T34" s="52">
        <v>2.0</v>
      </c>
      <c r="U34">
        <f t="shared" si="4"/>
        <v>0.0266518399</v>
      </c>
    </row>
    <row r="35">
      <c r="C35" s="59">
        <f t="shared" si="1"/>
        <v>-0.0134458891</v>
      </c>
      <c r="E35" s="47">
        <v>40831.0</v>
      </c>
      <c r="F35" t="str">
        <f t="shared" si="2"/>
        <v>2011-10</v>
      </c>
      <c r="G35" t="str">
        <f>IFERROR(__xludf.DUMMYFUNCTION("""COMPUTED_VALUE"""),"2012-12")</f>
        <v>2012-12</v>
      </c>
      <c r="H35" s="52">
        <f>IFERROR(__xludf.DUMMYFUNCTION("""COMPUTED_VALUE"""),2.0)</f>
        <v>2</v>
      </c>
      <c r="I35">
        <f t="shared" si="3"/>
        <v>0.0599344542</v>
      </c>
      <c r="J35" s="45">
        <v>40.0</v>
      </c>
      <c r="K35" t="str">
        <f>IFERROR(__xludf.DUMMYFUNCTION("""COMPUTED_VALUE"""),"2012-12")</f>
        <v>2012-12</v>
      </c>
      <c r="L35">
        <f>IFERROR(__xludf.DUMMYFUNCTION("""COMPUTED_VALUE"""),683.0)</f>
        <v>683</v>
      </c>
      <c r="S35" t="s">
        <v>89</v>
      </c>
      <c r="T35" s="52">
        <v>2.0</v>
      </c>
      <c r="U35">
        <f t="shared" si="4"/>
        <v>0.04770794843</v>
      </c>
    </row>
    <row r="36">
      <c r="C36" s="59">
        <f t="shared" si="1"/>
        <v>0.03151609773</v>
      </c>
      <c r="E36" s="47">
        <v>40906.0</v>
      </c>
      <c r="F36" t="str">
        <f t="shared" si="2"/>
        <v>2011-12</v>
      </c>
      <c r="G36" t="str">
        <f>IFERROR(__xludf.DUMMYFUNCTION("""COMPUTED_VALUE"""),"2013-01")</f>
        <v>2013-01</v>
      </c>
      <c r="H36" s="52">
        <f>IFERROR(__xludf.DUMMYFUNCTION("""COMPUTED_VALUE"""),4.0)</f>
        <v>4</v>
      </c>
      <c r="I36">
        <f t="shared" si="3"/>
        <v>-0.0202853544</v>
      </c>
      <c r="J36" s="45">
        <v>0.0</v>
      </c>
      <c r="K36" t="str">
        <f>IFERROR(__xludf.DUMMYFUNCTION("""COMPUTED_VALUE"""),"2013-01")</f>
        <v>2013-01</v>
      </c>
      <c r="L36">
        <f>IFERROR(__xludf.DUMMYFUNCTION("""COMPUTED_VALUE"""),609.0)</f>
        <v>609</v>
      </c>
      <c r="S36" t="s">
        <v>90</v>
      </c>
      <c r="T36" s="52">
        <v>4.0</v>
      </c>
      <c r="U36">
        <f t="shared" si="4"/>
        <v>-0.0802198086</v>
      </c>
    </row>
    <row r="37">
      <c r="C37" s="59">
        <f t="shared" si="1"/>
        <v>0.00452547936</v>
      </c>
      <c r="E37" s="47">
        <v>40994.0</v>
      </c>
      <c r="F37" t="str">
        <f t="shared" si="2"/>
        <v>2012-03</v>
      </c>
      <c r="G37" t="str">
        <f>IFERROR(__xludf.DUMMYFUNCTION("""COMPUTED_VALUE"""),"2013-02")</f>
        <v>2013-02</v>
      </c>
      <c r="H37" s="52">
        <f>IFERROR(__xludf.DUMMYFUNCTION("""COMPUTED_VALUE"""),1.0)</f>
        <v>1</v>
      </c>
      <c r="I37">
        <f t="shared" si="3"/>
        <v>0.02256439216</v>
      </c>
      <c r="J37" s="45">
        <v>0.0</v>
      </c>
      <c r="K37" t="str">
        <f>IFERROR(__xludf.DUMMYFUNCTION("""COMPUTED_VALUE"""),"2013-02")</f>
        <v>2013-02</v>
      </c>
      <c r="L37">
        <f>IFERROR(__xludf.DUMMYFUNCTION("""COMPUTED_VALUE"""),2.0)</f>
        <v>2</v>
      </c>
      <c r="S37" t="s">
        <v>91</v>
      </c>
      <c r="T37" s="52">
        <v>1.0</v>
      </c>
      <c r="U37">
        <f t="shared" si="4"/>
        <v>0.04284974656</v>
      </c>
    </row>
    <row r="38">
      <c r="C38" s="59">
        <f t="shared" si="1"/>
        <v>-0.04932091654</v>
      </c>
      <c r="E38" s="47">
        <v>41393.0</v>
      </c>
      <c r="F38" t="str">
        <f t="shared" si="2"/>
        <v>2013-04</v>
      </c>
      <c r="G38" t="str">
        <f>IFERROR(__xludf.DUMMYFUNCTION("""COMPUTED_VALUE"""),"2013-03")</f>
        <v>2013-03</v>
      </c>
      <c r="H38" s="52">
        <f>IFERROR(__xludf.DUMMYFUNCTION("""COMPUTED_VALUE"""),1.0)</f>
        <v>1</v>
      </c>
      <c r="I38">
        <f t="shared" si="3"/>
        <v>-0.01217549762</v>
      </c>
      <c r="J38" s="45">
        <v>0.0</v>
      </c>
      <c r="K38" t="str">
        <f>IFERROR(__xludf.DUMMYFUNCTION("""COMPUTED_VALUE"""),"2013-03")</f>
        <v>2013-03</v>
      </c>
      <c r="L38">
        <f>IFERROR(__xludf.DUMMYFUNCTION("""COMPUTED_VALUE"""),92.0)</f>
        <v>92</v>
      </c>
      <c r="S38" t="s">
        <v>92</v>
      </c>
      <c r="T38" s="52">
        <v>1.0</v>
      </c>
      <c r="U38">
        <f t="shared" si="4"/>
        <v>-0.03473988978</v>
      </c>
    </row>
    <row r="39">
      <c r="C39" s="59">
        <f t="shared" si="1"/>
        <v>0.04961371319</v>
      </c>
      <c r="E39" s="47">
        <v>41450.0</v>
      </c>
      <c r="F39" t="str">
        <f t="shared" si="2"/>
        <v>2013-06</v>
      </c>
      <c r="G39" t="str">
        <f>IFERROR(__xludf.DUMMYFUNCTION("""COMPUTED_VALUE"""),"2013-04")</f>
        <v>2013-04</v>
      </c>
      <c r="H39" s="52">
        <f>IFERROR(__xludf.DUMMYFUNCTION("""COMPUTED_VALUE"""),6.0)</f>
        <v>6</v>
      </c>
      <c r="I39">
        <f t="shared" si="3"/>
        <v>0.01593261022</v>
      </c>
      <c r="J39" s="45">
        <v>0.0</v>
      </c>
      <c r="K39" t="str">
        <f>IFERROR(__xludf.DUMMYFUNCTION("""COMPUTED_VALUE"""),"2013-04")</f>
        <v>2013-04</v>
      </c>
      <c r="L39">
        <f>IFERROR(__xludf.DUMMYFUNCTION("""COMPUTED_VALUE"""),136.0)</f>
        <v>136</v>
      </c>
      <c r="S39" t="s">
        <v>93</v>
      </c>
      <c r="T39" s="52">
        <v>6.0</v>
      </c>
      <c r="U39">
        <f t="shared" si="4"/>
        <v>0.02810810785</v>
      </c>
    </row>
    <row r="40">
      <c r="C40" s="59">
        <f t="shared" si="1"/>
        <v>0.006646836216</v>
      </c>
      <c r="E40" s="47">
        <v>41758.0</v>
      </c>
      <c r="F40" t="str">
        <f t="shared" si="2"/>
        <v>2014-04</v>
      </c>
      <c r="G40" t="str">
        <f>IFERROR(__xludf.DUMMYFUNCTION("""COMPUTED_VALUE"""),"2013-05")</f>
        <v>2013-05</v>
      </c>
      <c r="H40" s="52">
        <f>IFERROR(__xludf.DUMMYFUNCTION("""COMPUTED_VALUE"""),1.0)</f>
        <v>1</v>
      </c>
      <c r="I40">
        <f t="shared" si="3"/>
        <v>0.005254874381</v>
      </c>
      <c r="J40" s="45">
        <v>0.0</v>
      </c>
      <c r="K40" t="str">
        <f>IFERROR(__xludf.DUMMYFUNCTION("""COMPUTED_VALUE"""),"2013-05")</f>
        <v>2013-05</v>
      </c>
      <c r="L40">
        <f>IFERROR(__xludf.DUMMYFUNCTION("""COMPUTED_VALUE"""),51.0)</f>
        <v>51</v>
      </c>
      <c r="S40" t="s">
        <v>94</v>
      </c>
      <c r="T40" s="52">
        <v>1.0</v>
      </c>
      <c r="U40">
        <f t="shared" si="4"/>
        <v>-0.01067773584</v>
      </c>
    </row>
    <row r="41">
      <c r="C41" s="59">
        <f t="shared" si="1"/>
        <v>-0.0249841699</v>
      </c>
      <c r="E41" s="47">
        <v>41805.0</v>
      </c>
      <c r="F41" t="str">
        <f t="shared" si="2"/>
        <v>2014-06</v>
      </c>
      <c r="G41" t="str">
        <f>IFERROR(__xludf.DUMMYFUNCTION("""COMPUTED_VALUE"""),"2013-06")</f>
        <v>2013-06</v>
      </c>
      <c r="H41" s="52">
        <f>IFERROR(__xludf.DUMMYFUNCTION("""COMPUTED_VALUE"""),2.0)</f>
        <v>2</v>
      </c>
      <c r="I41">
        <f t="shared" si="3"/>
        <v>0.03916959489</v>
      </c>
      <c r="J41" s="45">
        <v>0.0</v>
      </c>
      <c r="K41" t="str">
        <f>IFERROR(__xludf.DUMMYFUNCTION("""COMPUTED_VALUE"""),"2013-06")</f>
        <v>2013-06</v>
      </c>
      <c r="L41">
        <f>IFERROR(__xludf.DUMMYFUNCTION("""COMPUTED_VALUE"""),94.0)</f>
        <v>94</v>
      </c>
      <c r="S41" t="s">
        <v>95</v>
      </c>
      <c r="T41" s="52">
        <v>2.0</v>
      </c>
      <c r="U41">
        <f t="shared" si="4"/>
        <v>0.03391472051</v>
      </c>
    </row>
    <row r="42">
      <c r="C42" s="59">
        <f t="shared" si="1"/>
        <v>0.003737606301</v>
      </c>
      <c r="E42" s="47">
        <v>41841.0</v>
      </c>
      <c r="F42" t="str">
        <f t="shared" si="2"/>
        <v>2014-07</v>
      </c>
      <c r="G42" t="str">
        <f>IFERROR(__xludf.DUMMYFUNCTION("""COMPUTED_VALUE"""),"2013-07")</f>
        <v>2013-07</v>
      </c>
      <c r="H42" s="52">
        <f>IFERROR(__xludf.DUMMYFUNCTION("""COMPUTED_VALUE"""),4.0)</f>
        <v>4</v>
      </c>
      <c r="I42">
        <f t="shared" si="3"/>
        <v>0.003906803564</v>
      </c>
      <c r="J42" s="45">
        <v>0.0</v>
      </c>
      <c r="K42" t="str">
        <f>IFERROR(__xludf.DUMMYFUNCTION("""COMPUTED_VALUE"""),"2013-07")</f>
        <v>2013-07</v>
      </c>
      <c r="L42">
        <f>IFERROR(__xludf.DUMMYFUNCTION("""COMPUTED_VALUE"""),410.0)</f>
        <v>410</v>
      </c>
      <c r="S42" t="s">
        <v>96</v>
      </c>
      <c r="T42" s="52">
        <v>4.0</v>
      </c>
      <c r="U42">
        <f t="shared" si="4"/>
        <v>-0.03526279132</v>
      </c>
    </row>
    <row r="43">
      <c r="C43" s="59">
        <f t="shared" si="1"/>
        <v>0.04532763925</v>
      </c>
      <c r="E43" s="47">
        <v>42308.0</v>
      </c>
      <c r="F43" t="str">
        <f t="shared" si="2"/>
        <v>2015-10</v>
      </c>
      <c r="G43" t="str">
        <f>IFERROR(__xludf.DUMMYFUNCTION("""COMPUTED_VALUE"""),"2013-08")</f>
        <v>2013-08</v>
      </c>
      <c r="H43" s="52">
        <f>IFERROR(__xludf.DUMMYFUNCTION("""COMPUTED_VALUE"""),5.0)</f>
        <v>5</v>
      </c>
      <c r="I43">
        <f t="shared" si="3"/>
        <v>-0.01162236977</v>
      </c>
      <c r="J43" s="45">
        <v>0.0</v>
      </c>
      <c r="K43" t="str">
        <f>IFERROR(__xludf.DUMMYFUNCTION("""COMPUTED_VALUE"""),"2013-08")</f>
        <v>2013-08</v>
      </c>
      <c r="L43">
        <f>IFERROR(__xludf.DUMMYFUNCTION("""COMPUTED_VALUE"""),795.0)</f>
        <v>795</v>
      </c>
      <c r="S43" t="s">
        <v>97</v>
      </c>
      <c r="T43" s="52">
        <v>5.0</v>
      </c>
      <c r="U43">
        <f t="shared" si="4"/>
        <v>-0.01552917333</v>
      </c>
    </row>
    <row r="44">
      <c r="C44" s="59">
        <f t="shared" si="1"/>
        <v>-0.008486330937</v>
      </c>
      <c r="E44" s="47">
        <v>40790.0</v>
      </c>
      <c r="F44" t="str">
        <f t="shared" si="2"/>
        <v>2011-09</v>
      </c>
      <c r="G44" t="str">
        <f>IFERROR(__xludf.DUMMYFUNCTION("""COMPUTED_VALUE"""),"2013-09")</f>
        <v>2013-09</v>
      </c>
      <c r="H44" s="52">
        <f>IFERROR(__xludf.DUMMYFUNCTION("""COMPUTED_VALUE"""),1.0)</f>
        <v>1</v>
      </c>
      <c r="I44">
        <f t="shared" si="3"/>
        <v>-0.005484847673</v>
      </c>
      <c r="J44" s="45">
        <v>3575.0</v>
      </c>
      <c r="K44" t="str">
        <f>IFERROR(__xludf.DUMMYFUNCTION("""COMPUTED_VALUE"""),"2013-09")</f>
        <v>2013-09</v>
      </c>
      <c r="L44">
        <f>IFERROR(__xludf.DUMMYFUNCTION("""COMPUTED_VALUE"""),81.0)</f>
        <v>81</v>
      </c>
      <c r="S44" t="s">
        <v>98</v>
      </c>
      <c r="T44" s="52">
        <v>1.0</v>
      </c>
      <c r="U44">
        <f t="shared" si="4"/>
        <v>0.006137522095</v>
      </c>
    </row>
    <row r="45">
      <c r="C45" s="59">
        <f t="shared" si="1"/>
        <v>0.05830528025</v>
      </c>
      <c r="E45" s="47">
        <v>40804.0</v>
      </c>
      <c r="F45" t="str">
        <f t="shared" si="2"/>
        <v>2011-09</v>
      </c>
      <c r="G45" t="str">
        <f>IFERROR(__xludf.DUMMYFUNCTION("""COMPUTED_VALUE"""),"2013-10")</f>
        <v>2013-10</v>
      </c>
      <c r="H45" s="52">
        <f>IFERROR(__xludf.DUMMYFUNCTION("""COMPUTED_VALUE"""),1.0)</f>
        <v>1</v>
      </c>
      <c r="I45">
        <f t="shared" si="3"/>
        <v>0.01874974094</v>
      </c>
      <c r="J45" s="45">
        <v>70.0</v>
      </c>
      <c r="K45" t="str">
        <f>IFERROR(__xludf.DUMMYFUNCTION("""COMPUTED_VALUE"""),"2013-10")</f>
        <v>2013-10</v>
      </c>
      <c r="L45">
        <f>IFERROR(__xludf.DUMMYFUNCTION("""COMPUTED_VALUE"""),158.0)</f>
        <v>158</v>
      </c>
      <c r="S45" t="s">
        <v>99</v>
      </c>
      <c r="T45" s="52">
        <v>1.0</v>
      </c>
      <c r="U45">
        <f t="shared" si="4"/>
        <v>0.02423458861</v>
      </c>
    </row>
    <row r="46">
      <c r="C46" s="59">
        <f t="shared" si="1"/>
        <v>0.01829456071</v>
      </c>
      <c r="E46" s="47">
        <v>40819.0</v>
      </c>
      <c r="F46" t="str">
        <f t="shared" si="2"/>
        <v>2011-10</v>
      </c>
      <c r="G46" t="str">
        <f>IFERROR(__xludf.DUMMYFUNCTION("""COMPUTED_VALUE"""),"2013-11")</f>
        <v>2013-11</v>
      </c>
      <c r="H46" s="52">
        <f>IFERROR(__xludf.DUMMYFUNCTION("""COMPUTED_VALUE"""),1.0)</f>
        <v>1</v>
      </c>
      <c r="I46">
        <f t="shared" si="3"/>
        <v>0.03307246094</v>
      </c>
      <c r="J46" s="45">
        <v>99.0</v>
      </c>
      <c r="K46" t="str">
        <f>IFERROR(__xludf.DUMMYFUNCTION("""COMPUTED_VALUE"""),"2013-11")</f>
        <v>2013-11</v>
      </c>
      <c r="L46">
        <f>IFERROR(__xludf.DUMMYFUNCTION("""COMPUTED_VALUE"""),104.0)</f>
        <v>104</v>
      </c>
      <c r="S46" t="s">
        <v>100</v>
      </c>
      <c r="T46" s="52">
        <v>1.0</v>
      </c>
      <c r="U46">
        <f t="shared" si="4"/>
        <v>0.01432272</v>
      </c>
    </row>
    <row r="47">
      <c r="C47" s="59">
        <f t="shared" si="1"/>
        <v>-0.01442533413</v>
      </c>
      <c r="E47" s="47">
        <v>40684.0</v>
      </c>
      <c r="F47" t="str">
        <f t="shared" si="2"/>
        <v>2011-05</v>
      </c>
      <c r="G47" t="str">
        <f>IFERROR(__xludf.DUMMYFUNCTION("""COMPUTED_VALUE"""),"2013-12")</f>
        <v>2013-12</v>
      </c>
      <c r="H47" s="52">
        <f>IFERROR(__xludf.DUMMYFUNCTION("""COMPUTED_VALUE"""),1.0)</f>
        <v>1</v>
      </c>
      <c r="I47">
        <f t="shared" si="3"/>
        <v>0.01018062603</v>
      </c>
      <c r="J47" s="45">
        <v>2996.0</v>
      </c>
      <c r="K47" t="str">
        <f>IFERROR(__xludf.DUMMYFUNCTION("""COMPUTED_VALUE"""),"2013-12")</f>
        <v>2013-12</v>
      </c>
      <c r="L47">
        <f>IFERROR(__xludf.DUMMYFUNCTION("""COMPUTED_VALUE"""),63.0)</f>
        <v>63</v>
      </c>
      <c r="S47" t="s">
        <v>101</v>
      </c>
      <c r="T47" s="52">
        <v>1.0</v>
      </c>
      <c r="U47">
        <f t="shared" si="4"/>
        <v>-0.0228918349</v>
      </c>
    </row>
    <row r="48">
      <c r="C48" s="59">
        <f t="shared" si="1"/>
        <v>0.01222650577</v>
      </c>
      <c r="E48" s="47">
        <v>40750.0</v>
      </c>
      <c r="F48" t="str">
        <f t="shared" si="2"/>
        <v>2011-07</v>
      </c>
      <c r="G48" t="str">
        <f>IFERROR(__xludf.DUMMYFUNCTION("""COMPUTED_VALUE"""),"2014-01")</f>
        <v>2014-01</v>
      </c>
      <c r="H48" s="52">
        <f>IFERROR(__xludf.DUMMYFUNCTION("""COMPUTED_VALUE"""),2.0)</f>
        <v>2</v>
      </c>
      <c r="I48">
        <f t="shared" si="3"/>
        <v>-0.03461889763</v>
      </c>
      <c r="J48" s="45">
        <v>449.0</v>
      </c>
      <c r="K48" t="str">
        <f>IFERROR(__xludf.DUMMYFUNCTION("""COMPUTED_VALUE"""),"2014-01")</f>
        <v>2014-01</v>
      </c>
      <c r="L48">
        <f>IFERROR(__xludf.DUMMYFUNCTION("""COMPUTED_VALUE"""),2964.0)</f>
        <v>2964</v>
      </c>
      <c r="S48" t="s">
        <v>102</v>
      </c>
      <c r="T48" s="52">
        <v>2.0</v>
      </c>
      <c r="U48">
        <f t="shared" si="4"/>
        <v>-0.04479952367</v>
      </c>
    </row>
    <row r="49">
      <c r="C49" s="59">
        <f t="shared" si="1"/>
        <v>-0.002078917896</v>
      </c>
      <c r="E49" s="47">
        <v>40539.0</v>
      </c>
      <c r="F49" t="str">
        <f t="shared" si="2"/>
        <v>2010-12</v>
      </c>
      <c r="G49" t="str">
        <f>IFERROR(__xludf.DUMMYFUNCTION("""COMPUTED_VALUE"""),"2014-03")</f>
        <v>2014-03</v>
      </c>
      <c r="H49" s="52">
        <f>IFERROR(__xludf.DUMMYFUNCTION("""COMPUTED_VALUE"""),3.0)</f>
        <v>3</v>
      </c>
      <c r="I49">
        <f t="shared" si="3"/>
        <v>0.03270454336</v>
      </c>
      <c r="J49" s="45">
        <v>1832.0</v>
      </c>
      <c r="K49" t="str">
        <f>IFERROR(__xludf.DUMMYFUNCTION("""COMPUTED_VALUE"""),"2014-03")</f>
        <v>2014-03</v>
      </c>
      <c r="L49">
        <f>IFERROR(__xludf.DUMMYFUNCTION("""COMPUTED_VALUE"""),1678.0)</f>
        <v>1678</v>
      </c>
      <c r="S49" t="s">
        <v>104</v>
      </c>
      <c r="T49" s="52">
        <v>3.0</v>
      </c>
      <c r="U49">
        <f t="shared" si="4"/>
        <v>0.067323441</v>
      </c>
    </row>
    <row r="50">
      <c r="C50" s="59">
        <f t="shared" si="1"/>
        <v>0.0599344542</v>
      </c>
      <c r="E50" s="47">
        <v>40832.0</v>
      </c>
      <c r="F50" t="str">
        <f t="shared" si="2"/>
        <v>2011-10</v>
      </c>
      <c r="G50" t="str">
        <f>IFERROR(__xludf.DUMMYFUNCTION("""COMPUTED_VALUE"""),"2014-04")</f>
        <v>2014-04</v>
      </c>
      <c r="H50" s="52">
        <f>IFERROR(__xludf.DUMMYFUNCTION("""COMPUTED_VALUE"""),6.0)</f>
        <v>6</v>
      </c>
      <c r="I50">
        <f t="shared" si="3"/>
        <v>-0.01461331643</v>
      </c>
      <c r="J50" s="45">
        <v>519.0</v>
      </c>
      <c r="K50" t="str">
        <f>IFERROR(__xludf.DUMMYFUNCTION("""COMPUTED_VALUE"""),"2014-04")</f>
        <v>2014-04</v>
      </c>
      <c r="L50">
        <f>IFERROR(__xludf.DUMMYFUNCTION("""COMPUTED_VALUE"""),618.0)</f>
        <v>618</v>
      </c>
      <c r="S50" t="s">
        <v>105</v>
      </c>
      <c r="T50" s="52">
        <v>6.0</v>
      </c>
      <c r="U50">
        <f t="shared" si="4"/>
        <v>-0.04731785979</v>
      </c>
    </row>
    <row r="51">
      <c r="C51" s="59">
        <f t="shared" si="1"/>
        <v>-0.0202853544</v>
      </c>
      <c r="E51" s="47">
        <v>40847.0</v>
      </c>
      <c r="F51" t="str">
        <f t="shared" si="2"/>
        <v>2011-10</v>
      </c>
      <c r="G51" t="str">
        <f>IFERROR(__xludf.DUMMYFUNCTION("""COMPUTED_VALUE"""),"2014-05")</f>
        <v>2014-05</v>
      </c>
      <c r="H51" s="52">
        <f>IFERROR(__xludf.DUMMYFUNCTION("""COMPUTED_VALUE"""),4.0)</f>
        <v>4</v>
      </c>
      <c r="I51">
        <f t="shared" si="3"/>
        <v>0.002324400768</v>
      </c>
      <c r="J51" s="45">
        <v>120.0</v>
      </c>
      <c r="K51" t="str">
        <f>IFERROR(__xludf.DUMMYFUNCTION("""COMPUTED_VALUE"""),"2014-05")</f>
        <v>2014-05</v>
      </c>
      <c r="L51">
        <f>IFERROR(__xludf.DUMMYFUNCTION("""COMPUTED_VALUE"""),1541.0)</f>
        <v>1541</v>
      </c>
      <c r="S51" t="s">
        <v>106</v>
      </c>
      <c r="T51" s="52">
        <v>4.0</v>
      </c>
      <c r="U51">
        <f t="shared" si="4"/>
        <v>0.01693771719</v>
      </c>
    </row>
    <row r="52">
      <c r="C52" s="59">
        <f t="shared" si="1"/>
        <v>0.02256439216</v>
      </c>
      <c r="E52" s="47">
        <v>40850.0</v>
      </c>
      <c r="F52" t="str">
        <f t="shared" si="2"/>
        <v>2011-11</v>
      </c>
      <c r="G52" t="str">
        <f>IFERROR(__xludf.DUMMYFUNCTION("""COMPUTED_VALUE"""),"2014-06")</f>
        <v>2014-06</v>
      </c>
      <c r="H52" s="52">
        <f>IFERROR(__xludf.DUMMYFUNCTION("""COMPUTED_VALUE"""),3.0)</f>
        <v>3</v>
      </c>
      <c r="I52">
        <f t="shared" si="3"/>
        <v>0.005313689687</v>
      </c>
      <c r="J52" s="45">
        <v>17.0</v>
      </c>
      <c r="K52" t="str">
        <f>IFERROR(__xludf.DUMMYFUNCTION("""COMPUTED_VALUE"""),"2014-06")</f>
        <v>2014-06</v>
      </c>
      <c r="L52">
        <f>IFERROR(__xludf.DUMMYFUNCTION("""COMPUTED_VALUE"""),5450.0)</f>
        <v>5450</v>
      </c>
      <c r="S52" t="s">
        <v>107</v>
      </c>
      <c r="T52" s="52">
        <v>3.0</v>
      </c>
      <c r="U52">
        <f t="shared" si="4"/>
        <v>0.002989288919</v>
      </c>
    </row>
    <row r="53">
      <c r="C53" s="59">
        <f t="shared" si="1"/>
        <v>-0.01217549762</v>
      </c>
      <c r="E53" s="47">
        <v>40861.0</v>
      </c>
      <c r="F53" t="str">
        <f t="shared" si="2"/>
        <v>2011-11</v>
      </c>
      <c r="G53" t="str">
        <f>IFERROR(__xludf.DUMMYFUNCTION("""COMPUTED_VALUE"""),"2014-07")</f>
        <v>2014-07</v>
      </c>
      <c r="H53" s="52">
        <f>IFERROR(__xludf.DUMMYFUNCTION("""COMPUTED_VALUE"""),3.0)</f>
        <v>3</v>
      </c>
      <c r="I53">
        <f t="shared" si="3"/>
        <v>0.007447227706</v>
      </c>
      <c r="J53" s="45">
        <v>84.0</v>
      </c>
      <c r="K53" t="str">
        <f>IFERROR(__xludf.DUMMYFUNCTION("""COMPUTED_VALUE"""),"2014-07")</f>
        <v>2014-07</v>
      </c>
      <c r="L53">
        <f>IFERROR(__xludf.DUMMYFUNCTION("""COMPUTED_VALUE"""),606.0)</f>
        <v>606</v>
      </c>
      <c r="S53" t="s">
        <v>108</v>
      </c>
      <c r="T53" s="52">
        <v>3.0</v>
      </c>
      <c r="U53">
        <f t="shared" si="4"/>
        <v>0.002133538019</v>
      </c>
    </row>
    <row r="54">
      <c r="C54" s="59">
        <f t="shared" si="1"/>
        <v>0.01593261022</v>
      </c>
      <c r="E54" s="47">
        <v>40875.0</v>
      </c>
      <c r="F54" t="str">
        <f t="shared" si="2"/>
        <v>2011-11</v>
      </c>
      <c r="G54" t="str">
        <f>IFERROR(__xludf.DUMMYFUNCTION("""COMPUTED_VALUE"""),"2014-08")</f>
        <v>2014-08</v>
      </c>
      <c r="H54" s="52">
        <f>IFERROR(__xludf.DUMMYFUNCTION("""COMPUTED_VALUE"""),1.0)</f>
        <v>1</v>
      </c>
      <c r="I54">
        <f t="shared" si="3"/>
        <v>-0.01426143459</v>
      </c>
      <c r="J54" s="45">
        <v>76.0</v>
      </c>
      <c r="K54" t="str">
        <f>IFERROR(__xludf.DUMMYFUNCTION("""COMPUTED_VALUE"""),"2014-08")</f>
        <v>2014-08</v>
      </c>
      <c r="L54">
        <f>IFERROR(__xludf.DUMMYFUNCTION("""COMPUTED_VALUE"""),572.0)</f>
        <v>572</v>
      </c>
      <c r="S54" t="s">
        <v>109</v>
      </c>
      <c r="T54" s="52">
        <v>1.0</v>
      </c>
      <c r="U54">
        <f t="shared" si="4"/>
        <v>-0.0217086623</v>
      </c>
    </row>
    <row r="55">
      <c r="C55" s="59">
        <f t="shared" si="1"/>
        <v>0.005254874381</v>
      </c>
      <c r="E55" s="47">
        <v>40906.0</v>
      </c>
      <c r="F55" t="str">
        <f t="shared" si="2"/>
        <v>2011-12</v>
      </c>
      <c r="G55" t="str">
        <f>IFERROR(__xludf.DUMMYFUNCTION("""COMPUTED_VALUE"""),"2014-09")</f>
        <v>2014-09</v>
      </c>
      <c r="H55" s="52">
        <f>IFERROR(__xludf.DUMMYFUNCTION("""COMPUTED_VALUE"""),2.0)</f>
        <v>2</v>
      </c>
      <c r="I55">
        <f t="shared" si="3"/>
        <v>-0.0233384385</v>
      </c>
      <c r="J55" s="45">
        <v>133.0</v>
      </c>
      <c r="K55" t="str">
        <f>IFERROR(__xludf.DUMMYFUNCTION("""COMPUTED_VALUE"""),"2014-09")</f>
        <v>2014-09</v>
      </c>
      <c r="L55">
        <f>IFERROR(__xludf.DUMMYFUNCTION("""COMPUTED_VALUE"""),935.0)</f>
        <v>935</v>
      </c>
      <c r="S55" t="s">
        <v>110</v>
      </c>
      <c r="T55" s="52">
        <v>2.0</v>
      </c>
      <c r="U55">
        <f t="shared" si="4"/>
        <v>-0.009077003909</v>
      </c>
    </row>
    <row r="56">
      <c r="C56" s="59">
        <f t="shared" si="1"/>
        <v>0.03916959489</v>
      </c>
      <c r="E56" s="47">
        <v>40945.0</v>
      </c>
      <c r="F56" t="str">
        <f t="shared" si="2"/>
        <v>2012-02</v>
      </c>
      <c r="G56" t="str">
        <f>IFERROR(__xludf.DUMMYFUNCTION("""COMPUTED_VALUE"""),"2014-10")</f>
        <v>2014-10</v>
      </c>
      <c r="H56" s="52">
        <f>IFERROR(__xludf.DUMMYFUNCTION("""COMPUTED_VALUE"""),2.0)</f>
        <v>2</v>
      </c>
      <c r="I56">
        <f t="shared" si="3"/>
        <v>0.01480319514</v>
      </c>
      <c r="J56" s="45">
        <v>107.0</v>
      </c>
      <c r="K56" t="str">
        <f>IFERROR(__xludf.DUMMYFUNCTION("""COMPUTED_VALUE"""),"2014-10")</f>
        <v>2014-10</v>
      </c>
      <c r="L56">
        <f>IFERROR(__xludf.DUMMYFUNCTION("""COMPUTED_VALUE"""),257.0)</f>
        <v>257</v>
      </c>
      <c r="S56" t="s">
        <v>111</v>
      </c>
      <c r="T56" s="52">
        <v>2.0</v>
      </c>
      <c r="U56">
        <f t="shared" si="4"/>
        <v>0.03814163364</v>
      </c>
    </row>
    <row r="57">
      <c r="C57" s="59">
        <f t="shared" si="1"/>
        <v>0.003906803564</v>
      </c>
      <c r="E57" s="47">
        <v>40959.0</v>
      </c>
      <c r="F57" t="str">
        <f t="shared" si="2"/>
        <v>2012-02</v>
      </c>
      <c r="G57" t="str">
        <f>IFERROR(__xludf.DUMMYFUNCTION("""COMPUTED_VALUE"""),"2014-11")</f>
        <v>2014-11</v>
      </c>
      <c r="H57" s="52">
        <f>IFERROR(__xludf.DUMMYFUNCTION("""COMPUTED_VALUE"""),3.0)</f>
        <v>3</v>
      </c>
      <c r="I57">
        <f t="shared" si="3"/>
        <v>0.008386356787</v>
      </c>
      <c r="J57" s="45">
        <v>554.0</v>
      </c>
      <c r="K57" t="str">
        <f>IFERROR(__xludf.DUMMYFUNCTION("""COMPUTED_VALUE"""),"2014-11")</f>
        <v>2014-11</v>
      </c>
      <c r="L57">
        <f>IFERROR(__xludf.DUMMYFUNCTION("""COMPUTED_VALUE"""),1044.0)</f>
        <v>1044</v>
      </c>
      <c r="S57" t="s">
        <v>113</v>
      </c>
      <c r="T57" s="52">
        <v>3.0</v>
      </c>
      <c r="U57">
        <f t="shared" si="4"/>
        <v>-0.006416838353</v>
      </c>
    </row>
    <row r="58">
      <c r="C58" s="59">
        <f t="shared" si="1"/>
        <v>-0.01162236977</v>
      </c>
      <c r="E58" s="47">
        <v>40917.0</v>
      </c>
      <c r="F58" t="str">
        <f t="shared" si="2"/>
        <v>2012-01</v>
      </c>
      <c r="G58" t="str">
        <f>IFERROR(__xludf.DUMMYFUNCTION("""COMPUTED_VALUE"""),"2014-12")</f>
        <v>2014-12</v>
      </c>
      <c r="H58" s="52">
        <f>IFERROR(__xludf.DUMMYFUNCTION("""COMPUTED_VALUE"""),3.0)</f>
        <v>3</v>
      </c>
      <c r="I58">
        <f t="shared" si="3"/>
        <v>-0.0197576351</v>
      </c>
      <c r="J58" s="45">
        <v>303.0</v>
      </c>
      <c r="K58" t="str">
        <f>IFERROR(__xludf.DUMMYFUNCTION("""COMPUTED_VALUE"""),"2014-12")</f>
        <v>2014-12</v>
      </c>
      <c r="L58">
        <f>IFERROR(__xludf.DUMMYFUNCTION("""COMPUTED_VALUE"""),262.0)</f>
        <v>262</v>
      </c>
      <c r="S58" t="s">
        <v>112</v>
      </c>
      <c r="T58" s="52">
        <v>3.0</v>
      </c>
      <c r="U58">
        <f t="shared" si="4"/>
        <v>-0.02814399189</v>
      </c>
    </row>
    <row r="59">
      <c r="C59" s="59">
        <f t="shared" si="1"/>
        <v>-0.005484847673</v>
      </c>
      <c r="E59" s="47">
        <v>40931.0</v>
      </c>
      <c r="F59" t="str">
        <f t="shared" si="2"/>
        <v>2012-01</v>
      </c>
      <c r="G59" t="str">
        <f>IFERROR(__xludf.DUMMYFUNCTION("""COMPUTED_VALUE"""),"2015-01")</f>
        <v>2015-01</v>
      </c>
      <c r="H59" s="52">
        <f>IFERROR(__xludf.DUMMYFUNCTION("""COMPUTED_VALUE"""),2.0)</f>
        <v>2</v>
      </c>
      <c r="I59">
        <f t="shared" si="3"/>
        <v>0.04059122306</v>
      </c>
      <c r="J59" s="45">
        <v>133.0</v>
      </c>
      <c r="K59" t="str">
        <f>IFERROR(__xludf.DUMMYFUNCTION("""COMPUTED_VALUE"""),"2015-01")</f>
        <v>2015-01</v>
      </c>
      <c r="L59">
        <f>IFERROR(__xludf.DUMMYFUNCTION("""COMPUTED_VALUE"""),8073.0)</f>
        <v>8073</v>
      </c>
      <c r="S59" t="s">
        <v>114</v>
      </c>
      <c r="T59" s="52">
        <v>2.0</v>
      </c>
      <c r="U59">
        <f t="shared" si="4"/>
        <v>0.06034885816</v>
      </c>
    </row>
    <row r="60">
      <c r="C60" s="59">
        <f t="shared" si="1"/>
        <v>0.01874974094</v>
      </c>
      <c r="E60" s="47">
        <v>40973.0</v>
      </c>
      <c r="F60" t="str">
        <f t="shared" si="2"/>
        <v>2012-03</v>
      </c>
      <c r="G60" t="str">
        <f>IFERROR(__xludf.DUMMYFUNCTION("""COMPUTED_VALUE"""),"2015-02")</f>
        <v>2015-02</v>
      </c>
      <c r="H60" s="52">
        <f>IFERROR(__xludf.DUMMYFUNCTION("""COMPUTED_VALUE"""),2.0)</f>
        <v>2</v>
      </c>
      <c r="I60">
        <f t="shared" si="3"/>
        <v>0.01677971955</v>
      </c>
      <c r="J60" s="45">
        <v>352.0</v>
      </c>
      <c r="K60" t="str">
        <f>IFERROR(__xludf.DUMMYFUNCTION("""COMPUTED_VALUE"""),"2015-02")</f>
        <v>2015-02</v>
      </c>
      <c r="L60">
        <f>IFERROR(__xludf.DUMMYFUNCTION("""COMPUTED_VALUE"""),428.0)</f>
        <v>428</v>
      </c>
      <c r="S60" t="s">
        <v>115</v>
      </c>
      <c r="T60" s="52">
        <v>2.0</v>
      </c>
      <c r="U60">
        <f t="shared" si="4"/>
        <v>-0.02381150351</v>
      </c>
    </row>
    <row r="61">
      <c r="C61" s="59">
        <f t="shared" si="1"/>
        <v>0.03307246094</v>
      </c>
      <c r="E61" s="47">
        <v>40994.0</v>
      </c>
      <c r="F61" t="str">
        <f t="shared" si="2"/>
        <v>2012-03</v>
      </c>
      <c r="G61" t="str">
        <f>IFERROR(__xludf.DUMMYFUNCTION("""COMPUTED_VALUE"""),"2015-03")</f>
        <v>2015-03</v>
      </c>
      <c r="H61" s="52">
        <f>IFERROR(__xludf.DUMMYFUNCTION("""COMPUTED_VALUE"""),2.0)</f>
        <v>2</v>
      </c>
      <c r="I61">
        <f t="shared" si="3"/>
        <v>-0.005622980443</v>
      </c>
      <c r="J61" s="45">
        <v>116.0</v>
      </c>
      <c r="K61" t="str">
        <f>IFERROR(__xludf.DUMMYFUNCTION("""COMPUTED_VALUE"""),"2015-03")</f>
        <v>2015-03</v>
      </c>
      <c r="L61">
        <f>IFERROR(__xludf.DUMMYFUNCTION("""COMPUTED_VALUE"""),4927.0)</f>
        <v>4927</v>
      </c>
      <c r="S61" t="s">
        <v>116</v>
      </c>
      <c r="T61" s="52">
        <v>2.0</v>
      </c>
      <c r="U61">
        <f t="shared" si="4"/>
        <v>-0.02240269999</v>
      </c>
    </row>
    <row r="62">
      <c r="C62" s="59">
        <f t="shared" si="1"/>
        <v>0.01018062603</v>
      </c>
      <c r="E62" s="47">
        <v>41029.0</v>
      </c>
      <c r="F62" t="str">
        <f t="shared" si="2"/>
        <v>2012-04</v>
      </c>
      <c r="G62" t="str">
        <f>IFERROR(__xludf.DUMMYFUNCTION("""COMPUTED_VALUE"""),"2015-04")</f>
        <v>2015-04</v>
      </c>
      <c r="H62" s="52">
        <f>IFERROR(__xludf.DUMMYFUNCTION("""COMPUTED_VALUE"""),3.0)</f>
        <v>3</v>
      </c>
      <c r="I62">
        <f t="shared" si="3"/>
        <v>-0.002851295004</v>
      </c>
      <c r="J62" s="45">
        <v>104.0</v>
      </c>
      <c r="K62" t="str">
        <f>IFERROR(__xludf.DUMMYFUNCTION("""COMPUTED_VALUE"""),"2015-04")</f>
        <v>2015-04</v>
      </c>
      <c r="L62">
        <f>IFERROR(__xludf.DUMMYFUNCTION("""COMPUTED_VALUE"""),234.0)</f>
        <v>234</v>
      </c>
      <c r="S62" t="s">
        <v>117</v>
      </c>
      <c r="T62" s="52">
        <v>3.0</v>
      </c>
      <c r="U62">
        <f t="shared" si="4"/>
        <v>0.002771685438</v>
      </c>
    </row>
    <row r="63">
      <c r="C63" s="59">
        <f t="shared" si="1"/>
        <v>-0.03461889763</v>
      </c>
      <c r="E63" s="47">
        <v>41052.0</v>
      </c>
      <c r="F63" t="str">
        <f t="shared" si="2"/>
        <v>2012-05</v>
      </c>
      <c r="G63" t="str">
        <f>IFERROR(__xludf.DUMMYFUNCTION("""COMPUTED_VALUE"""),"2015-05")</f>
        <v>2015-05</v>
      </c>
      <c r="H63" s="52">
        <f>IFERROR(__xludf.DUMMYFUNCTION("""COMPUTED_VALUE"""),7.0)</f>
        <v>7</v>
      </c>
      <c r="I63">
        <f t="shared" si="3"/>
        <v>-0.007148385111</v>
      </c>
      <c r="J63" s="45">
        <v>44.0</v>
      </c>
      <c r="K63" t="str">
        <f>IFERROR(__xludf.DUMMYFUNCTION("""COMPUTED_VALUE"""),"2015-05")</f>
        <v>2015-05</v>
      </c>
      <c r="L63">
        <f>IFERROR(__xludf.DUMMYFUNCTION("""COMPUTED_VALUE"""),317.0)</f>
        <v>317</v>
      </c>
      <c r="S63" t="s">
        <v>118</v>
      </c>
      <c r="T63" s="52">
        <v>7.0</v>
      </c>
      <c r="U63">
        <f t="shared" si="4"/>
        <v>-0.004297090107</v>
      </c>
    </row>
    <row r="64">
      <c r="C64" s="59">
        <f t="shared" si="1"/>
        <v>0.008224416367</v>
      </c>
      <c r="E64" s="47">
        <v>41091.0</v>
      </c>
      <c r="F64" t="str">
        <f t="shared" si="2"/>
        <v>2012-07</v>
      </c>
      <c r="G64" t="str">
        <f>IFERROR(__xludf.DUMMYFUNCTION("""COMPUTED_VALUE"""),"2015-06")</f>
        <v>2015-06</v>
      </c>
      <c r="H64" s="52">
        <f>IFERROR(__xludf.DUMMYFUNCTION("""COMPUTED_VALUE"""),4.0)</f>
        <v>4</v>
      </c>
      <c r="I64">
        <f t="shared" si="3"/>
        <v>0.001765620931</v>
      </c>
      <c r="J64" s="45">
        <v>42.0</v>
      </c>
      <c r="K64" t="str">
        <f>IFERROR(__xludf.DUMMYFUNCTION("""COMPUTED_VALUE"""),"2015-06")</f>
        <v>2015-06</v>
      </c>
      <c r="L64">
        <f>IFERROR(__xludf.DUMMYFUNCTION("""COMPUTED_VALUE"""),247.0)</f>
        <v>247</v>
      </c>
      <c r="S64" t="s">
        <v>119</v>
      </c>
      <c r="T64" s="52">
        <v>4.0</v>
      </c>
      <c r="U64">
        <f t="shared" si="4"/>
        <v>0.008914006042</v>
      </c>
    </row>
    <row r="65">
      <c r="C65" s="59">
        <f t="shared" si="1"/>
        <v>0.03270454336</v>
      </c>
      <c r="E65" s="47">
        <v>41104.0</v>
      </c>
      <c r="F65" t="str">
        <f t="shared" si="2"/>
        <v>2012-07</v>
      </c>
      <c r="G65" t="str">
        <f>IFERROR(__xludf.DUMMYFUNCTION("""COMPUTED_VALUE"""),"2015-07")</f>
        <v>2015-07</v>
      </c>
      <c r="H65" s="52">
        <f>IFERROR(__xludf.DUMMYFUNCTION("""COMPUTED_VALUE"""),6.0)</f>
        <v>6</v>
      </c>
      <c r="I65">
        <f t="shared" si="3"/>
        <v>-0.02467958478</v>
      </c>
      <c r="J65" s="45">
        <v>0.0</v>
      </c>
      <c r="K65" t="str">
        <f>IFERROR(__xludf.DUMMYFUNCTION("""COMPUTED_VALUE"""),"2015-07")</f>
        <v>2015-07</v>
      </c>
      <c r="L65">
        <f>IFERROR(__xludf.DUMMYFUNCTION("""COMPUTED_VALUE"""),124.0)</f>
        <v>124</v>
      </c>
      <c r="S65" t="s">
        <v>120</v>
      </c>
      <c r="T65" s="52">
        <v>6.0</v>
      </c>
      <c r="U65">
        <f t="shared" si="4"/>
        <v>-0.02644520571</v>
      </c>
    </row>
    <row r="66">
      <c r="C66" s="59">
        <f t="shared" si="1"/>
        <v>-0.01461331643</v>
      </c>
      <c r="E66" s="47">
        <v>41052.0</v>
      </c>
      <c r="F66" t="str">
        <f t="shared" si="2"/>
        <v>2012-05</v>
      </c>
      <c r="G66" t="str">
        <f>IFERROR(__xludf.DUMMYFUNCTION("""COMPUTED_VALUE"""),"2015-08")</f>
        <v>2015-08</v>
      </c>
      <c r="H66" s="52">
        <f>IFERROR(__xludf.DUMMYFUNCTION("""COMPUTED_VALUE"""),9.0)</f>
        <v>9</v>
      </c>
      <c r="I66">
        <f t="shared" si="3"/>
        <v>-0.01403696081</v>
      </c>
      <c r="J66" s="45">
        <v>489.0</v>
      </c>
      <c r="K66" t="str">
        <f>IFERROR(__xludf.DUMMYFUNCTION("""COMPUTED_VALUE"""),"2015-08")</f>
        <v>2015-08</v>
      </c>
      <c r="L66">
        <f>IFERROR(__xludf.DUMMYFUNCTION("""COMPUTED_VALUE"""),1033.0)</f>
        <v>1033</v>
      </c>
      <c r="S66" t="s">
        <v>121</v>
      </c>
      <c r="T66" s="52">
        <v>9.0</v>
      </c>
      <c r="U66">
        <f t="shared" si="4"/>
        <v>0.01064262398</v>
      </c>
    </row>
    <row r="67">
      <c r="C67" s="59">
        <f t="shared" si="1"/>
        <v>0.002324400768</v>
      </c>
      <c r="E67" s="47">
        <v>41080.0</v>
      </c>
      <c r="F67" t="str">
        <f t="shared" si="2"/>
        <v>2012-06</v>
      </c>
      <c r="G67" t="str">
        <f>IFERROR(__xludf.DUMMYFUNCTION("""COMPUTED_VALUE"""),"2015-09")</f>
        <v>2015-09</v>
      </c>
      <c r="H67" s="52">
        <f>IFERROR(__xludf.DUMMYFUNCTION("""COMPUTED_VALUE"""),4.0)</f>
        <v>4</v>
      </c>
      <c r="I67">
        <f t="shared" si="3"/>
        <v>-0.008504790608</v>
      </c>
      <c r="J67" s="45">
        <v>133.0</v>
      </c>
      <c r="K67" t="str">
        <f>IFERROR(__xludf.DUMMYFUNCTION("""COMPUTED_VALUE"""),"2015-09")</f>
        <v>2015-09</v>
      </c>
      <c r="L67">
        <f>IFERROR(__xludf.DUMMYFUNCTION("""COMPUTED_VALUE"""),415.0)</f>
        <v>415</v>
      </c>
      <c r="S67" t="s">
        <v>122</v>
      </c>
      <c r="T67" s="52">
        <v>4.0</v>
      </c>
      <c r="U67">
        <f t="shared" si="4"/>
        <v>0.005532170199</v>
      </c>
    </row>
    <row r="68">
      <c r="C68" s="59">
        <f t="shared" si="1"/>
        <v>0.005313689687</v>
      </c>
      <c r="E68" s="47">
        <v>41029.0</v>
      </c>
      <c r="F68" t="str">
        <f t="shared" si="2"/>
        <v>2012-04</v>
      </c>
      <c r="G68" t="str">
        <f>IFERROR(__xludf.DUMMYFUNCTION("""COMPUTED_VALUE"""),"2015-10")</f>
        <v>2015-10</v>
      </c>
      <c r="H68" s="52">
        <f>IFERROR(__xludf.DUMMYFUNCTION("""COMPUTED_VALUE"""),5.0)</f>
        <v>5</v>
      </c>
      <c r="I68">
        <f t="shared" si="3"/>
        <v>-0.009498430341</v>
      </c>
      <c r="J68" s="45">
        <v>350.0</v>
      </c>
      <c r="K68" t="str">
        <f>IFERROR(__xludf.DUMMYFUNCTION("""COMPUTED_VALUE"""),"2015-10")</f>
        <v>2015-10</v>
      </c>
      <c r="L68">
        <f>IFERROR(__xludf.DUMMYFUNCTION("""COMPUTED_VALUE"""),219.0)</f>
        <v>219</v>
      </c>
      <c r="S68" t="s">
        <v>123</v>
      </c>
      <c r="T68" s="52">
        <v>5.0</v>
      </c>
      <c r="U68">
        <f t="shared" si="4"/>
        <v>-0.0009936397323</v>
      </c>
    </row>
    <row r="69">
      <c r="C69" s="59">
        <f t="shared" si="1"/>
        <v>0.007447227706</v>
      </c>
      <c r="E69" s="47">
        <v>41091.0</v>
      </c>
      <c r="F69" t="str">
        <f t="shared" si="2"/>
        <v>2012-07</v>
      </c>
      <c r="G69" t="str">
        <f>IFERROR(__xludf.DUMMYFUNCTION("""COMPUTED_VALUE"""),"2015-11")</f>
        <v>2015-11</v>
      </c>
      <c r="H69" s="52">
        <f>IFERROR(__xludf.DUMMYFUNCTION("""COMPUTED_VALUE"""),6.0)</f>
        <v>6</v>
      </c>
      <c r="I69">
        <f t="shared" si="3"/>
        <v>-0.05419570114</v>
      </c>
      <c r="J69" s="45">
        <v>404.0</v>
      </c>
      <c r="K69" t="str">
        <f>IFERROR(__xludf.DUMMYFUNCTION("""COMPUTED_VALUE"""),"2015-11")</f>
        <v>2015-11</v>
      </c>
      <c r="L69">
        <f>IFERROR(__xludf.DUMMYFUNCTION("""COMPUTED_VALUE"""),139.0)</f>
        <v>139</v>
      </c>
      <c r="S69" t="s">
        <v>124</v>
      </c>
      <c r="T69" s="52">
        <v>6.0</v>
      </c>
      <c r="U69">
        <f t="shared" si="4"/>
        <v>-0.0446972708</v>
      </c>
    </row>
    <row r="70">
      <c r="C70" s="59">
        <f t="shared" si="1"/>
        <v>-0.01426143459</v>
      </c>
      <c r="E70" s="47">
        <v>41104.0</v>
      </c>
      <c r="F70" t="str">
        <f t="shared" si="2"/>
        <v>2012-07</v>
      </c>
      <c r="G70" t="str">
        <f>IFERROR(__xludf.DUMMYFUNCTION("""COMPUTED_VALUE"""),"2015-12")</f>
        <v>2015-12</v>
      </c>
      <c r="H70" s="52">
        <f>IFERROR(__xludf.DUMMYFUNCTION("""COMPUTED_VALUE"""),2.0)</f>
        <v>2</v>
      </c>
      <c r="I70">
        <f t="shared" si="3"/>
        <v>-0.02837045074</v>
      </c>
      <c r="J70" s="45">
        <v>25.0</v>
      </c>
      <c r="K70" t="str">
        <f>IFERROR(__xludf.DUMMYFUNCTION("""COMPUTED_VALUE"""),"2015-12")</f>
        <v>2015-12</v>
      </c>
      <c r="L70">
        <f>IFERROR(__xludf.DUMMYFUNCTION("""COMPUTED_VALUE"""),132.0)</f>
        <v>132</v>
      </c>
      <c r="S70" t="s">
        <v>125</v>
      </c>
      <c r="T70" s="52">
        <v>2.0</v>
      </c>
      <c r="U70">
        <f t="shared" si="4"/>
        <v>0.0258252504</v>
      </c>
    </row>
    <row r="71">
      <c r="C71" s="59">
        <f t="shared" si="1"/>
        <v>-0.0233384385</v>
      </c>
      <c r="E71" s="47">
        <v>41153.0</v>
      </c>
      <c r="F71" t="str">
        <f t="shared" si="2"/>
        <v>2012-09</v>
      </c>
      <c r="G71" t="str">
        <f>IFERROR(__xludf.DUMMYFUNCTION("""COMPUTED_VALUE"""),"2016-01")</f>
        <v>2016-01</v>
      </c>
      <c r="H71" s="52">
        <f>IFERROR(__xludf.DUMMYFUNCTION("""COMPUTED_VALUE"""),9.0)</f>
        <v>9</v>
      </c>
      <c r="I71">
        <f t="shared" si="3"/>
        <v>-0.008646898259</v>
      </c>
      <c r="J71" s="45">
        <v>116.0</v>
      </c>
      <c r="K71" t="str">
        <f>IFERROR(__xludf.DUMMYFUNCTION("""COMPUTED_VALUE"""),"2016-01")</f>
        <v>2016-01</v>
      </c>
      <c r="L71">
        <f>IFERROR(__xludf.DUMMYFUNCTION("""COMPUTED_VALUE"""),711.0)</f>
        <v>711</v>
      </c>
      <c r="S71" t="s">
        <v>126</v>
      </c>
      <c r="T71" s="52">
        <v>9.0</v>
      </c>
      <c r="U71">
        <f t="shared" si="4"/>
        <v>0.01972355248</v>
      </c>
    </row>
    <row r="72">
      <c r="C72" s="59">
        <f t="shared" si="1"/>
        <v>0.01480319514</v>
      </c>
      <c r="E72" s="47">
        <v>41191.0</v>
      </c>
      <c r="F72" t="str">
        <f t="shared" si="2"/>
        <v>2012-10</v>
      </c>
      <c r="G72" t="str">
        <f>IFERROR(__xludf.DUMMYFUNCTION("""COMPUTED_VALUE"""),"2016-02")</f>
        <v>2016-02</v>
      </c>
      <c r="H72" s="52">
        <f>IFERROR(__xludf.DUMMYFUNCTION("""COMPUTED_VALUE"""),7.0)</f>
        <v>7</v>
      </c>
      <c r="I72">
        <f t="shared" si="3"/>
        <v>-0.04242954879</v>
      </c>
      <c r="J72" s="45">
        <v>66.0</v>
      </c>
      <c r="K72" t="str">
        <f>IFERROR(__xludf.DUMMYFUNCTION("""COMPUTED_VALUE"""),"2016-02")</f>
        <v>2016-02</v>
      </c>
      <c r="L72">
        <f>IFERROR(__xludf.DUMMYFUNCTION("""COMPUTED_VALUE"""),200.0)</f>
        <v>200</v>
      </c>
      <c r="S72" t="s">
        <v>127</v>
      </c>
      <c r="T72" s="52">
        <v>7.0</v>
      </c>
      <c r="U72">
        <f t="shared" si="4"/>
        <v>-0.03378265053</v>
      </c>
    </row>
    <row r="73">
      <c r="C73" s="59">
        <f t="shared" si="1"/>
        <v>0.008386356787</v>
      </c>
      <c r="E73" s="47">
        <v>41245.0</v>
      </c>
      <c r="F73" t="str">
        <f t="shared" si="2"/>
        <v>2012-12</v>
      </c>
      <c r="G73" t="str">
        <f>IFERROR(__xludf.DUMMYFUNCTION("""COMPUTED_VALUE"""),"2016-03")</f>
        <v>2016-03</v>
      </c>
      <c r="H73" s="52">
        <f>IFERROR(__xludf.DUMMYFUNCTION("""COMPUTED_VALUE"""),11.0)</f>
        <v>11</v>
      </c>
      <c r="I73">
        <f t="shared" si="3"/>
        <v>-0.00743371178</v>
      </c>
      <c r="J73" s="45">
        <v>134.0</v>
      </c>
      <c r="K73" t="str">
        <f>IFERROR(__xludf.DUMMYFUNCTION("""COMPUTED_VALUE"""),"2016-03")</f>
        <v>2016-03</v>
      </c>
      <c r="L73">
        <f>IFERROR(__xludf.DUMMYFUNCTION("""COMPUTED_VALUE"""),259.0)</f>
        <v>259</v>
      </c>
      <c r="S73" t="s">
        <v>128</v>
      </c>
      <c r="T73" s="52">
        <v>11.0</v>
      </c>
      <c r="U73">
        <f t="shared" si="4"/>
        <v>0.03499583701</v>
      </c>
    </row>
    <row r="74">
      <c r="C74" s="59">
        <f t="shared" si="1"/>
        <v>-0.0197576351</v>
      </c>
      <c r="E74" s="47">
        <v>41283.0</v>
      </c>
      <c r="F74" t="str">
        <f t="shared" si="2"/>
        <v>2013-01</v>
      </c>
      <c r="G74" t="str">
        <f>IFERROR(__xludf.DUMMYFUNCTION("""COMPUTED_VALUE"""),"2016-04")</f>
        <v>2016-04</v>
      </c>
      <c r="H74" s="52">
        <f>IFERROR(__xludf.DUMMYFUNCTION("""COMPUTED_VALUE"""),2.0)</f>
        <v>2</v>
      </c>
      <c r="I74">
        <f t="shared" si="3"/>
        <v>-0.005628539716</v>
      </c>
      <c r="J74" s="45">
        <v>47.0</v>
      </c>
      <c r="K74" t="str">
        <f>IFERROR(__xludf.DUMMYFUNCTION("""COMPUTED_VALUE"""),"2016-04")</f>
        <v>2016-04</v>
      </c>
      <c r="L74">
        <f>IFERROR(__xludf.DUMMYFUNCTION("""COMPUTED_VALUE"""),106.0)</f>
        <v>106</v>
      </c>
      <c r="S74" t="s">
        <v>129</v>
      </c>
      <c r="T74" s="52">
        <v>2.0</v>
      </c>
      <c r="U74">
        <f t="shared" si="4"/>
        <v>0.001805172063</v>
      </c>
    </row>
    <row r="75">
      <c r="C75" s="59">
        <f t="shared" si="1"/>
        <v>0.04059122306</v>
      </c>
      <c r="E75" s="47">
        <v>41302.0</v>
      </c>
      <c r="F75" t="str">
        <f t="shared" si="2"/>
        <v>2013-01</v>
      </c>
      <c r="G75" t="str">
        <f>IFERROR(__xludf.DUMMYFUNCTION("""COMPUTED_VALUE"""),"2016-05")</f>
        <v>2016-05</v>
      </c>
      <c r="H75" s="52">
        <f>IFERROR(__xludf.DUMMYFUNCTION("""COMPUTED_VALUE"""),3.0)</f>
        <v>3</v>
      </c>
      <c r="I75">
        <f t="shared" si="3"/>
        <v>0.01112563378</v>
      </c>
      <c r="J75" s="45">
        <v>34.0</v>
      </c>
      <c r="K75" t="str">
        <f>IFERROR(__xludf.DUMMYFUNCTION("""COMPUTED_VALUE"""),"2016-05")</f>
        <v>2016-05</v>
      </c>
      <c r="L75">
        <f>IFERROR(__xludf.DUMMYFUNCTION("""COMPUTED_VALUE"""),155.0)</f>
        <v>155</v>
      </c>
      <c r="S75" t="s">
        <v>130</v>
      </c>
      <c r="T75" s="52">
        <v>3.0</v>
      </c>
      <c r="U75">
        <f t="shared" si="4"/>
        <v>0.0167541735</v>
      </c>
    </row>
    <row r="76">
      <c r="C76" s="59">
        <f t="shared" si="1"/>
        <v>0.01677971955</v>
      </c>
      <c r="E76" s="47">
        <v>41307.0</v>
      </c>
      <c r="F76" t="str">
        <f t="shared" si="2"/>
        <v>2013-02</v>
      </c>
      <c r="G76" t="str">
        <f>IFERROR(__xludf.DUMMYFUNCTION("""COMPUTED_VALUE"""),"2016-06")</f>
        <v>2016-06</v>
      </c>
      <c r="H76" s="52">
        <f>IFERROR(__xludf.DUMMYFUNCTION("""COMPUTED_VALUE"""),2.0)</f>
        <v>2</v>
      </c>
      <c r="I76">
        <f t="shared" si="3"/>
        <v>0.01804333256</v>
      </c>
      <c r="J76" s="45">
        <v>2.0</v>
      </c>
      <c r="K76" t="str">
        <f>IFERROR(__xludf.DUMMYFUNCTION("""COMPUTED_VALUE"""),"2016-06")</f>
        <v>2016-06</v>
      </c>
      <c r="L76">
        <f>IFERROR(__xludf.DUMMYFUNCTION("""COMPUTED_VALUE"""),151.0)</f>
        <v>151</v>
      </c>
      <c r="S76" t="s">
        <v>131</v>
      </c>
      <c r="T76" s="52">
        <v>2.0</v>
      </c>
      <c r="U76">
        <f t="shared" si="4"/>
        <v>0.006917698781</v>
      </c>
    </row>
    <row r="77">
      <c r="C77" s="59">
        <f t="shared" si="1"/>
        <v>-0.005622980443</v>
      </c>
      <c r="E77" s="47">
        <v>41392.0</v>
      </c>
      <c r="F77" t="str">
        <f t="shared" si="2"/>
        <v>2013-04</v>
      </c>
      <c r="G77" t="str">
        <f>IFERROR(__xludf.DUMMYFUNCTION("""COMPUTED_VALUE"""),"2016-07")</f>
        <v>2016-07</v>
      </c>
      <c r="H77" s="52">
        <f>IFERROR(__xludf.DUMMYFUNCTION("""COMPUTED_VALUE"""),4.0)</f>
        <v>4</v>
      </c>
      <c r="I77">
        <f t="shared" si="3"/>
        <v>-0.0002050029523</v>
      </c>
      <c r="J77" s="45">
        <v>0.0</v>
      </c>
      <c r="K77" t="str">
        <f>IFERROR(__xludf.DUMMYFUNCTION("""COMPUTED_VALUE"""),"2016-07")</f>
        <v>2016-07</v>
      </c>
      <c r="L77">
        <f>IFERROR(__xludf.DUMMYFUNCTION("""COMPUTED_VALUE"""),686.0)</f>
        <v>686</v>
      </c>
      <c r="S77" t="s">
        <v>132</v>
      </c>
      <c r="T77" s="52">
        <v>4.0</v>
      </c>
      <c r="U77">
        <f t="shared" si="4"/>
        <v>-0.01824833551</v>
      </c>
    </row>
    <row r="78">
      <c r="C78" s="59">
        <f t="shared" si="1"/>
        <v>-0.002851295004</v>
      </c>
      <c r="E78" s="47">
        <v>41473.0</v>
      </c>
      <c r="F78" t="str">
        <f t="shared" si="2"/>
        <v>2013-07</v>
      </c>
      <c r="G78" t="str">
        <f>IFERROR(__xludf.DUMMYFUNCTION("""COMPUTED_VALUE"""),"2016-08")</f>
        <v>2016-08</v>
      </c>
      <c r="H78" s="52">
        <f>IFERROR(__xludf.DUMMYFUNCTION("""COMPUTED_VALUE"""),7.0)</f>
        <v>7</v>
      </c>
      <c r="I78">
        <f t="shared" si="3"/>
        <v>-0.02018188965</v>
      </c>
      <c r="J78" s="45">
        <v>0.0</v>
      </c>
      <c r="K78" t="str">
        <f>IFERROR(__xludf.DUMMYFUNCTION("""COMPUTED_VALUE"""),"2016-08")</f>
        <v>2016-08</v>
      </c>
      <c r="L78">
        <f>IFERROR(__xludf.DUMMYFUNCTION("""COMPUTED_VALUE"""),673.0)</f>
        <v>673</v>
      </c>
      <c r="S78" t="s">
        <v>133</v>
      </c>
      <c r="T78" s="52">
        <v>7.0</v>
      </c>
      <c r="U78">
        <f t="shared" si="4"/>
        <v>-0.0199768867</v>
      </c>
    </row>
    <row r="79">
      <c r="C79" s="59">
        <f t="shared" si="1"/>
        <v>-0.007148385111</v>
      </c>
      <c r="E79" s="47">
        <v>41245.0</v>
      </c>
      <c r="F79" t="str">
        <f t="shared" si="2"/>
        <v>2012-12</v>
      </c>
      <c r="G79" t="str">
        <f>IFERROR(__xludf.DUMMYFUNCTION("""COMPUTED_VALUE"""),"2016-09")</f>
        <v>2016-09</v>
      </c>
      <c r="H79" s="52">
        <f>IFERROR(__xludf.DUMMYFUNCTION("""COMPUTED_VALUE"""),8.0)</f>
        <v>8</v>
      </c>
      <c r="I79">
        <f t="shared" si="3"/>
        <v>0.002584957551</v>
      </c>
      <c r="J79" s="45">
        <v>549.0</v>
      </c>
      <c r="K79" t="str">
        <f>IFERROR(__xludf.DUMMYFUNCTION("""COMPUTED_VALUE"""),"2016-09")</f>
        <v>2016-09</v>
      </c>
      <c r="L79">
        <f>IFERROR(__xludf.DUMMYFUNCTION("""COMPUTED_VALUE"""),223.0)</f>
        <v>223</v>
      </c>
      <c r="S79" t="s">
        <v>134</v>
      </c>
      <c r="T79" s="52">
        <v>8.0</v>
      </c>
      <c r="U79">
        <f t="shared" si="4"/>
        <v>0.0227668472</v>
      </c>
    </row>
    <row r="80">
      <c r="C80" s="59">
        <f t="shared" si="1"/>
        <v>0.001765620931</v>
      </c>
      <c r="E80" s="47">
        <v>41283.0</v>
      </c>
      <c r="F80" t="str">
        <f t="shared" si="2"/>
        <v>2013-01</v>
      </c>
      <c r="G80" t="str">
        <f>IFERROR(__xludf.DUMMYFUNCTION("""COMPUTED_VALUE"""),"2016-10")</f>
        <v>2016-10</v>
      </c>
      <c r="H80" s="52">
        <f>IFERROR(__xludf.DUMMYFUNCTION("""COMPUTED_VALUE"""),3.0)</f>
        <v>3</v>
      </c>
      <c r="I80">
        <f t="shared" si="3"/>
        <v>0.006289240641</v>
      </c>
      <c r="J80" s="45">
        <v>145.0</v>
      </c>
      <c r="K80" t="str">
        <f>IFERROR(__xludf.DUMMYFUNCTION("""COMPUTED_VALUE"""),"2016-10")</f>
        <v>2016-10</v>
      </c>
      <c r="L80">
        <f>IFERROR(__xludf.DUMMYFUNCTION("""COMPUTED_VALUE"""),95.0)</f>
        <v>95</v>
      </c>
      <c r="S80" t="s">
        <v>135</v>
      </c>
      <c r="T80" s="52">
        <v>3.0</v>
      </c>
      <c r="U80">
        <f t="shared" si="4"/>
        <v>0.00370428309</v>
      </c>
    </row>
    <row r="81">
      <c r="C81" s="59">
        <f t="shared" si="1"/>
        <v>-0.02467958478</v>
      </c>
      <c r="E81" s="47">
        <v>41210.0</v>
      </c>
      <c r="F81" t="str">
        <f t="shared" si="2"/>
        <v>2012-10</v>
      </c>
      <c r="G81" t="str">
        <f>IFERROR(__xludf.DUMMYFUNCTION("""COMPUTED_VALUE"""),"2016-11")</f>
        <v>2016-11</v>
      </c>
      <c r="H81" s="52">
        <f>IFERROR(__xludf.DUMMYFUNCTION("""COMPUTED_VALUE"""),6.0)</f>
        <v>6</v>
      </c>
      <c r="I81">
        <f t="shared" si="3"/>
        <v>0.01226832971</v>
      </c>
      <c r="J81" s="45">
        <v>387.0</v>
      </c>
      <c r="K81" t="str">
        <f>IFERROR(__xludf.DUMMYFUNCTION("""COMPUTED_VALUE"""),"2016-11")</f>
        <v>2016-11</v>
      </c>
      <c r="L81">
        <f>IFERROR(__xludf.DUMMYFUNCTION("""COMPUTED_VALUE"""),110.0)</f>
        <v>110</v>
      </c>
      <c r="S81" t="s">
        <v>136</v>
      </c>
      <c r="T81" s="52">
        <v>6.0</v>
      </c>
      <c r="U81">
        <f t="shared" si="4"/>
        <v>0.005979089074</v>
      </c>
    </row>
    <row r="82">
      <c r="C82" s="59">
        <f t="shared" si="1"/>
        <v>-0.01403696081</v>
      </c>
      <c r="E82" s="47">
        <v>41302.0</v>
      </c>
      <c r="F82" t="str">
        <f t="shared" si="2"/>
        <v>2013-01</v>
      </c>
      <c r="G82" t="str">
        <f>IFERROR(__xludf.DUMMYFUNCTION("""COMPUTED_VALUE"""),"2016-12")</f>
        <v>2016-12</v>
      </c>
      <c r="H82" s="52">
        <f>IFERROR(__xludf.DUMMYFUNCTION("""COMPUTED_VALUE"""),4.0)</f>
        <v>4</v>
      </c>
      <c r="I82">
        <f t="shared" si="3"/>
        <v>0.04809863671</v>
      </c>
      <c r="J82" s="45">
        <v>383.0</v>
      </c>
      <c r="K82" t="str">
        <f>IFERROR(__xludf.DUMMYFUNCTION("""COMPUTED_VALUE"""),"2016-12")</f>
        <v>2016-12</v>
      </c>
      <c r="L82">
        <f>IFERROR(__xludf.DUMMYFUNCTION("""COMPUTED_VALUE"""),539.0)</f>
        <v>539</v>
      </c>
      <c r="S82" t="s">
        <v>137</v>
      </c>
      <c r="T82" s="52">
        <v>4.0</v>
      </c>
      <c r="U82">
        <f t="shared" si="4"/>
        <v>0.03583030699</v>
      </c>
    </row>
    <row r="83">
      <c r="C83" s="59">
        <f t="shared" si="1"/>
        <v>-0.008504790608</v>
      </c>
      <c r="E83" s="47">
        <v>41336.0</v>
      </c>
      <c r="F83" t="str">
        <f t="shared" si="2"/>
        <v>2013-03</v>
      </c>
      <c r="G83" t="str">
        <f>IFERROR(__xludf.DUMMYFUNCTION("""COMPUTED_VALUE"""),"2017-01")</f>
        <v>2017-01</v>
      </c>
      <c r="H83" s="52">
        <f>IFERROR(__xludf.DUMMYFUNCTION("""COMPUTED_VALUE"""),9.0)</f>
        <v>9</v>
      </c>
      <c r="I83">
        <f t="shared" si="3"/>
        <v>0.00344194721</v>
      </c>
      <c r="J83" s="45">
        <v>92.0</v>
      </c>
      <c r="K83" t="str">
        <f>IFERROR(__xludf.DUMMYFUNCTION("""COMPUTED_VALUE"""),"2017-01")</f>
        <v>2017-01</v>
      </c>
      <c r="L83">
        <f>IFERROR(__xludf.DUMMYFUNCTION("""COMPUTED_VALUE"""),1202.0)</f>
        <v>1202</v>
      </c>
      <c r="S83" t="s">
        <v>138</v>
      </c>
      <c r="T83" s="52">
        <v>9.0</v>
      </c>
      <c r="U83">
        <f t="shared" si="4"/>
        <v>-0.0446566895</v>
      </c>
    </row>
    <row r="84">
      <c r="C84" s="59">
        <f t="shared" si="1"/>
        <v>-0.009498430341</v>
      </c>
      <c r="E84" s="47">
        <v>41371.0</v>
      </c>
      <c r="F84" t="str">
        <f t="shared" si="2"/>
        <v>2013-04</v>
      </c>
      <c r="G84" t="str">
        <f>IFERROR(__xludf.DUMMYFUNCTION("""COMPUTED_VALUE"""),"2017-02")</f>
        <v>2017-02</v>
      </c>
      <c r="H84" s="52">
        <f>IFERROR(__xludf.DUMMYFUNCTION("""COMPUTED_VALUE"""),6.0)</f>
        <v>6</v>
      </c>
      <c r="I84">
        <f t="shared" si="3"/>
        <v>0.01663404008</v>
      </c>
      <c r="J84" s="45">
        <v>82.0</v>
      </c>
      <c r="K84" t="str">
        <f>IFERROR(__xludf.DUMMYFUNCTION("""COMPUTED_VALUE"""),"2017-02")</f>
        <v>2017-02</v>
      </c>
      <c r="L84">
        <f>IFERROR(__xludf.DUMMYFUNCTION("""COMPUTED_VALUE"""),671.0)</f>
        <v>671</v>
      </c>
      <c r="S84" t="s">
        <v>139</v>
      </c>
      <c r="T84" s="52">
        <v>6.0</v>
      </c>
      <c r="U84">
        <f t="shared" si="4"/>
        <v>0.01319209287</v>
      </c>
    </row>
    <row r="85">
      <c r="C85" s="59">
        <f t="shared" si="1"/>
        <v>-0.05419570114</v>
      </c>
      <c r="E85" s="47">
        <v>41388.0</v>
      </c>
      <c r="F85" t="str">
        <f t="shared" si="2"/>
        <v>2013-04</v>
      </c>
      <c r="G85" t="str">
        <f>IFERROR(__xludf.DUMMYFUNCTION("""COMPUTED_VALUE"""),"2017-03")</f>
        <v>2017-03</v>
      </c>
      <c r="H85" s="52">
        <f>IFERROR(__xludf.DUMMYFUNCTION("""COMPUTED_VALUE"""),3.0)</f>
        <v>3</v>
      </c>
      <c r="I85">
        <f t="shared" si="3"/>
        <v>0.008210777916</v>
      </c>
      <c r="J85" s="45">
        <v>40.0</v>
      </c>
      <c r="K85" t="str">
        <f>IFERROR(__xludf.DUMMYFUNCTION("""COMPUTED_VALUE"""),"2017-03")</f>
        <v>2017-03</v>
      </c>
      <c r="L85">
        <f>IFERROR(__xludf.DUMMYFUNCTION("""COMPUTED_VALUE"""),155.0)</f>
        <v>155</v>
      </c>
      <c r="S85" t="s">
        <v>140</v>
      </c>
      <c r="T85" s="52">
        <v>3.0</v>
      </c>
      <c r="U85">
        <f t="shared" si="4"/>
        <v>-0.008423262162</v>
      </c>
    </row>
    <row r="86">
      <c r="C86" s="59">
        <f t="shared" si="1"/>
        <v>-0.02837045074</v>
      </c>
      <c r="E86" s="47">
        <v>41392.0</v>
      </c>
      <c r="F86" t="str">
        <f t="shared" si="2"/>
        <v>2013-04</v>
      </c>
      <c r="G86" t="str">
        <f>IFERROR(__xludf.DUMMYFUNCTION("""COMPUTED_VALUE"""),"2017-04")</f>
        <v>2017-04</v>
      </c>
      <c r="H86" s="52">
        <f>IFERROR(__xludf.DUMMYFUNCTION("""COMPUTED_VALUE"""),4.0)</f>
        <v>4</v>
      </c>
      <c r="I86">
        <f t="shared" si="3"/>
        <v>0.03753361519</v>
      </c>
      <c r="J86" s="45">
        <v>14.0</v>
      </c>
      <c r="K86" t="str">
        <f>IFERROR(__xludf.DUMMYFUNCTION("""COMPUTED_VALUE"""),"2017-04")</f>
        <v>2017-04</v>
      </c>
      <c r="L86">
        <f>IFERROR(__xludf.DUMMYFUNCTION("""COMPUTED_VALUE"""),14.0)</f>
        <v>14</v>
      </c>
      <c r="S86" t="s">
        <v>141</v>
      </c>
      <c r="T86" s="52">
        <v>4.0</v>
      </c>
      <c r="U86">
        <f t="shared" si="4"/>
        <v>0.02932283728</v>
      </c>
    </row>
    <row r="87">
      <c r="C87" s="59">
        <f t="shared" si="1"/>
        <v>-0.008646898259</v>
      </c>
      <c r="E87" s="47">
        <v>41405.0</v>
      </c>
      <c r="F87" t="str">
        <f t="shared" si="2"/>
        <v>2013-05</v>
      </c>
      <c r="G87" t="str">
        <f>IFERROR(__xludf.DUMMYFUNCTION("""COMPUTED_VALUE"""),"2017-05")</f>
        <v>2017-05</v>
      </c>
      <c r="H87" s="52">
        <f>IFERROR(__xludf.DUMMYFUNCTION("""COMPUTED_VALUE"""),3.0)</f>
        <v>3</v>
      </c>
      <c r="I87">
        <f t="shared" si="3"/>
        <v>0.05827261507</v>
      </c>
      <c r="J87" s="45">
        <v>51.0</v>
      </c>
      <c r="K87" t="str">
        <f>IFERROR(__xludf.DUMMYFUNCTION("""COMPUTED_VALUE"""),"2017-05")</f>
        <v>2017-05</v>
      </c>
      <c r="L87">
        <f>IFERROR(__xludf.DUMMYFUNCTION("""COMPUTED_VALUE"""),125.0)</f>
        <v>125</v>
      </c>
      <c r="S87" t="s">
        <v>142</v>
      </c>
      <c r="T87" s="52">
        <v>3.0</v>
      </c>
      <c r="U87">
        <f t="shared" si="4"/>
        <v>0.02073899987</v>
      </c>
    </row>
    <row r="88">
      <c r="C88" s="59">
        <f t="shared" si="1"/>
        <v>-0.04242954879</v>
      </c>
      <c r="E88" s="47">
        <v>41435.0</v>
      </c>
      <c r="F88" t="str">
        <f t="shared" si="2"/>
        <v>2013-06</v>
      </c>
      <c r="G88" t="str">
        <f>IFERROR(__xludf.DUMMYFUNCTION("""COMPUTED_VALUE"""),"2017-06")</f>
        <v>2017-06</v>
      </c>
      <c r="H88" s="52">
        <f>IFERROR(__xludf.DUMMYFUNCTION("""COMPUTED_VALUE"""),3.0)</f>
        <v>3</v>
      </c>
      <c r="I88">
        <f t="shared" si="3"/>
        <v>0.04344402917</v>
      </c>
      <c r="J88" s="45">
        <v>94.0</v>
      </c>
      <c r="K88" t="str">
        <f>IFERROR(__xludf.DUMMYFUNCTION("""COMPUTED_VALUE"""),"2017-06")</f>
        <v>2017-06</v>
      </c>
      <c r="L88">
        <f>IFERROR(__xludf.DUMMYFUNCTION("""COMPUTED_VALUE"""),180.0)</f>
        <v>180</v>
      </c>
      <c r="S88" t="s">
        <v>143</v>
      </c>
      <c r="T88" s="52">
        <v>3.0</v>
      </c>
      <c r="U88">
        <f t="shared" si="4"/>
        <v>-0.0148285859</v>
      </c>
    </row>
    <row r="89">
      <c r="C89" s="59">
        <f t="shared" si="1"/>
        <v>-0.00743371178</v>
      </c>
      <c r="E89" s="47">
        <v>41460.0</v>
      </c>
      <c r="F89" t="str">
        <f t="shared" si="2"/>
        <v>2013-07</v>
      </c>
      <c r="G89" t="str">
        <f>IFERROR(__xludf.DUMMYFUNCTION("""COMPUTED_VALUE"""),"2017-07")</f>
        <v>2017-07</v>
      </c>
      <c r="H89" s="52">
        <f>IFERROR(__xludf.DUMMYFUNCTION("""COMPUTED_VALUE"""),4.0)</f>
        <v>4</v>
      </c>
      <c r="I89">
        <f t="shared" si="3"/>
        <v>-0.0417118585</v>
      </c>
      <c r="J89" s="45">
        <v>74.0</v>
      </c>
      <c r="K89" t="str">
        <f>IFERROR(__xludf.DUMMYFUNCTION("""COMPUTED_VALUE"""),"2017-07")</f>
        <v>2017-07</v>
      </c>
      <c r="L89">
        <f>IFERROR(__xludf.DUMMYFUNCTION("""COMPUTED_VALUE"""),768.0)</f>
        <v>768</v>
      </c>
      <c r="S89" t="s">
        <v>144</v>
      </c>
      <c r="T89" s="52">
        <v>4.0</v>
      </c>
      <c r="U89">
        <f t="shared" si="4"/>
        <v>-0.08515588767</v>
      </c>
    </row>
    <row r="90">
      <c r="C90" s="59">
        <f t="shared" si="1"/>
        <v>-0.005628539716</v>
      </c>
      <c r="E90" s="47">
        <v>41473.0</v>
      </c>
      <c r="F90" t="str">
        <f t="shared" si="2"/>
        <v>2013-07</v>
      </c>
      <c r="G90" t="str">
        <f>IFERROR(__xludf.DUMMYFUNCTION("""COMPUTED_VALUE"""),"2017-08")</f>
        <v>2017-08</v>
      </c>
      <c r="H90" s="52">
        <f>IFERROR(__xludf.DUMMYFUNCTION("""COMPUTED_VALUE"""),7.0)</f>
        <v>7</v>
      </c>
      <c r="I90">
        <f t="shared" si="3"/>
        <v>0.02815573507</v>
      </c>
      <c r="J90" s="45">
        <v>43.0</v>
      </c>
      <c r="K90" t="str">
        <f>IFERROR(__xludf.DUMMYFUNCTION("""COMPUTED_VALUE"""),"2017-08")</f>
        <v>2017-08</v>
      </c>
      <c r="L90">
        <f>IFERROR(__xludf.DUMMYFUNCTION("""COMPUTED_VALUE"""),1069.0)</f>
        <v>1069</v>
      </c>
      <c r="S90" t="s">
        <v>145</v>
      </c>
      <c r="T90" s="52">
        <v>7.0</v>
      </c>
      <c r="U90">
        <f t="shared" si="4"/>
        <v>0.06986759357</v>
      </c>
    </row>
    <row r="91">
      <c r="C91" s="59">
        <f t="shared" si="1"/>
        <v>0.01112563378</v>
      </c>
      <c r="E91" s="47">
        <v>41497.0</v>
      </c>
      <c r="F91" t="str">
        <f t="shared" si="2"/>
        <v>2013-08</v>
      </c>
      <c r="G91" t="str">
        <f>IFERROR(__xludf.DUMMYFUNCTION("""COMPUTED_VALUE"""),"2017-09")</f>
        <v>2017-09</v>
      </c>
      <c r="H91" s="52">
        <f>IFERROR(__xludf.DUMMYFUNCTION("""COMPUTED_VALUE"""),3.0)</f>
        <v>3</v>
      </c>
      <c r="I91">
        <f t="shared" si="3"/>
        <v>0.02870466679</v>
      </c>
      <c r="J91" s="45">
        <v>78.0</v>
      </c>
      <c r="K91" t="str">
        <f>IFERROR(__xludf.DUMMYFUNCTION("""COMPUTED_VALUE"""),"2017-09")</f>
        <v>2017-09</v>
      </c>
      <c r="L91">
        <f>IFERROR(__xludf.DUMMYFUNCTION("""COMPUTED_VALUE"""),117.0)</f>
        <v>117</v>
      </c>
      <c r="S91" t="s">
        <v>146</v>
      </c>
      <c r="T91" s="52">
        <v>3.0</v>
      </c>
      <c r="U91">
        <f t="shared" si="4"/>
        <v>0.0005489317195</v>
      </c>
    </row>
    <row r="92">
      <c r="C92" s="59">
        <f t="shared" si="1"/>
        <v>0.01804333256</v>
      </c>
      <c r="E92" s="47">
        <v>41516.0</v>
      </c>
      <c r="F92" t="str">
        <f t="shared" si="2"/>
        <v>2013-08</v>
      </c>
      <c r="G92" t="str">
        <f>IFERROR(__xludf.DUMMYFUNCTION("""COMPUTED_VALUE"""),"2017-10")</f>
        <v>2017-10</v>
      </c>
      <c r="H92" s="52">
        <f>IFERROR(__xludf.DUMMYFUNCTION("""COMPUTED_VALUE"""),2.0)</f>
        <v>2</v>
      </c>
      <c r="I92">
        <f t="shared" si="3"/>
        <v>0.009630015704</v>
      </c>
      <c r="J92" s="45">
        <v>63.0</v>
      </c>
      <c r="K92" t="str">
        <f>IFERROR(__xludf.DUMMYFUNCTION("""COMPUTED_VALUE"""),"2017-10")</f>
        <v>2017-10</v>
      </c>
      <c r="L92">
        <f>IFERROR(__xludf.DUMMYFUNCTION("""COMPUTED_VALUE"""),75.0)</f>
        <v>75</v>
      </c>
      <c r="S92" t="s">
        <v>153</v>
      </c>
      <c r="T92" s="52">
        <v>2.0</v>
      </c>
      <c r="U92">
        <f t="shared" si="4"/>
        <v>-0.01907465109</v>
      </c>
    </row>
    <row r="93">
      <c r="C93" s="59">
        <f t="shared" si="1"/>
        <v>-0.0002050029523</v>
      </c>
      <c r="E93" s="47">
        <v>41497.0</v>
      </c>
      <c r="F93" t="str">
        <f t="shared" si="2"/>
        <v>2013-08</v>
      </c>
      <c r="H93" s="52"/>
      <c r="J93" s="45">
        <v>252.0</v>
      </c>
      <c r="T93" s="52"/>
    </row>
    <row r="94">
      <c r="C94" s="59">
        <f t="shared" si="1"/>
        <v>-0.02018188965</v>
      </c>
      <c r="E94" s="47">
        <v>41505.0</v>
      </c>
      <c r="F94" t="str">
        <f t="shared" si="2"/>
        <v>2013-08</v>
      </c>
      <c r="H94" s="52"/>
      <c r="J94" s="45">
        <v>71.0</v>
      </c>
      <c r="T94" s="52"/>
    </row>
    <row r="95">
      <c r="C95" s="59">
        <f t="shared" si="1"/>
        <v>0.002584957551</v>
      </c>
      <c r="E95" s="47">
        <v>41460.0</v>
      </c>
      <c r="F95" t="str">
        <f t="shared" si="2"/>
        <v>2013-07</v>
      </c>
      <c r="H95" s="52"/>
      <c r="J95" s="45">
        <v>293.0</v>
      </c>
      <c r="T95" s="52"/>
    </row>
    <row r="96">
      <c r="C96" s="59">
        <f t="shared" si="1"/>
        <v>0.006289240641</v>
      </c>
      <c r="E96" s="47">
        <v>41516.0</v>
      </c>
      <c r="F96" t="str">
        <f t="shared" si="2"/>
        <v>2013-08</v>
      </c>
      <c r="H96" s="52"/>
      <c r="J96" s="45">
        <v>331.0</v>
      </c>
      <c r="T96" s="52"/>
    </row>
    <row r="97">
      <c r="C97" s="59">
        <f t="shared" si="1"/>
        <v>0.01226832971</v>
      </c>
      <c r="E97" s="47">
        <v>41532.0</v>
      </c>
      <c r="F97" t="str">
        <f t="shared" si="2"/>
        <v>2013-09</v>
      </c>
      <c r="H97" s="52"/>
      <c r="J97" s="45">
        <v>81.0</v>
      </c>
      <c r="T97" s="52"/>
    </row>
    <row r="98">
      <c r="C98" s="59">
        <f t="shared" si="1"/>
        <v>0.04809863671</v>
      </c>
      <c r="E98" s="47">
        <v>41570.0</v>
      </c>
      <c r="F98" t="str">
        <f t="shared" si="2"/>
        <v>2013-10</v>
      </c>
      <c r="H98" s="52"/>
      <c r="J98" s="45">
        <v>158.0</v>
      </c>
      <c r="T98" s="52"/>
    </row>
    <row r="99">
      <c r="C99" s="59">
        <f t="shared" si="1"/>
        <v>0.00344194721</v>
      </c>
      <c r="E99" s="47">
        <v>41603.0</v>
      </c>
      <c r="F99" t="str">
        <f t="shared" si="2"/>
        <v>2013-11</v>
      </c>
      <c r="H99" s="52"/>
      <c r="J99" s="45">
        <v>104.0</v>
      </c>
      <c r="T99" s="52"/>
    </row>
    <row r="100">
      <c r="C100" s="59">
        <f t="shared" si="1"/>
        <v>0.01663404008</v>
      </c>
      <c r="E100" s="47">
        <v>41632.0</v>
      </c>
      <c r="F100" t="str">
        <f t="shared" si="2"/>
        <v>2013-12</v>
      </c>
      <c r="H100" s="52"/>
      <c r="J100" s="45">
        <v>63.0</v>
      </c>
      <c r="T100" s="52"/>
    </row>
    <row r="101">
      <c r="C101" s="59">
        <f t="shared" si="1"/>
        <v>0.008210777916</v>
      </c>
      <c r="E101" s="47">
        <v>41665.0</v>
      </c>
      <c r="F101" t="str">
        <f t="shared" si="2"/>
        <v>2014-01</v>
      </c>
      <c r="H101" s="52"/>
      <c r="J101" s="45">
        <v>56.0</v>
      </c>
      <c r="T101" s="52"/>
    </row>
    <row r="102">
      <c r="C102" s="59">
        <f t="shared" si="1"/>
        <v>0.03753361519</v>
      </c>
      <c r="E102" s="47">
        <v>41700.0</v>
      </c>
      <c r="F102" t="str">
        <f t="shared" si="2"/>
        <v>2014-03</v>
      </c>
      <c r="H102" s="52"/>
      <c r="J102" s="45">
        <v>67.0</v>
      </c>
      <c r="T102" s="52"/>
    </row>
    <row r="103">
      <c r="C103" s="59">
        <f t="shared" si="1"/>
        <v>0.05827261507</v>
      </c>
      <c r="E103" s="47">
        <v>41734.0</v>
      </c>
      <c r="F103" t="str">
        <f t="shared" si="2"/>
        <v>2014-04</v>
      </c>
      <c r="H103" s="52"/>
      <c r="J103" s="45">
        <v>90.0</v>
      </c>
      <c r="T103" s="52"/>
    </row>
    <row r="104">
      <c r="C104" s="59">
        <f t="shared" si="1"/>
        <v>0.04344402917</v>
      </c>
      <c r="E104" s="47">
        <v>41758.0</v>
      </c>
      <c r="F104" t="str">
        <f t="shared" si="2"/>
        <v>2014-04</v>
      </c>
      <c r="H104" s="52"/>
      <c r="J104" s="45">
        <v>39.0</v>
      </c>
      <c r="T104" s="52"/>
    </row>
    <row r="105">
      <c r="C105" s="59">
        <f t="shared" si="1"/>
        <v>-0.0417118585</v>
      </c>
      <c r="E105" s="47">
        <v>41759.0</v>
      </c>
      <c r="F105" t="str">
        <f t="shared" si="2"/>
        <v>2014-04</v>
      </c>
      <c r="H105" s="52"/>
      <c r="J105" s="45">
        <v>7.0</v>
      </c>
      <c r="T105" s="52"/>
    </row>
    <row r="106">
      <c r="C106" s="59">
        <f t="shared" si="1"/>
        <v>0.02815573507</v>
      </c>
      <c r="E106" s="47">
        <v>41777.0</v>
      </c>
      <c r="F106" t="str">
        <f t="shared" si="2"/>
        <v>2014-05</v>
      </c>
      <c r="H106" s="52"/>
      <c r="J106" s="45">
        <v>29.0</v>
      </c>
      <c r="T106" s="52"/>
    </row>
    <row r="107">
      <c r="C107" s="59">
        <f t="shared" si="1"/>
        <v>0.02870466679</v>
      </c>
      <c r="E107" s="47">
        <v>41740.0</v>
      </c>
      <c r="F107" t="str">
        <f t="shared" si="2"/>
        <v>2014-04</v>
      </c>
      <c r="H107" s="52"/>
      <c r="J107" s="45">
        <v>439.0</v>
      </c>
      <c r="T107" s="52"/>
    </row>
    <row r="108">
      <c r="C108" s="59">
        <f t="shared" si="1"/>
        <v>0.009630015704</v>
      </c>
      <c r="E108" s="47">
        <v>41756.0</v>
      </c>
      <c r="F108" t="str">
        <f t="shared" si="2"/>
        <v>2014-04</v>
      </c>
      <c r="H108" s="52"/>
      <c r="J108" s="45">
        <v>43.0</v>
      </c>
      <c r="T108" s="52"/>
    </row>
    <row r="109">
      <c r="C109" s="59"/>
      <c r="E109" s="47">
        <v>41724.0</v>
      </c>
      <c r="F109" t="str">
        <f t="shared" si="2"/>
        <v>2014-03</v>
      </c>
      <c r="H109" s="52"/>
      <c r="J109" s="45">
        <v>450.0</v>
      </c>
      <c r="T109" s="52"/>
    </row>
    <row r="110">
      <c r="B110" s="50"/>
      <c r="C110" s="59"/>
      <c r="E110" s="47">
        <v>41772.0</v>
      </c>
      <c r="F110" t="str">
        <f t="shared" si="2"/>
        <v>2014-05</v>
      </c>
      <c r="H110" s="52"/>
      <c r="J110" s="45">
        <v>175.0</v>
      </c>
      <c r="T110" s="52"/>
    </row>
    <row r="111">
      <c r="B111" s="50"/>
      <c r="C111" s="59"/>
      <c r="E111" s="47">
        <v>41777.0</v>
      </c>
      <c r="F111" t="str">
        <f t="shared" si="2"/>
        <v>2014-05</v>
      </c>
      <c r="H111" s="52"/>
      <c r="J111" s="45">
        <v>23.0</v>
      </c>
      <c r="T111" s="52"/>
    </row>
    <row r="112">
      <c r="B112" s="50"/>
      <c r="C112" s="59"/>
      <c r="E112" s="47">
        <v>41805.0</v>
      </c>
      <c r="F112" t="str">
        <f t="shared" si="2"/>
        <v>2014-06</v>
      </c>
      <c r="H112" s="52"/>
      <c r="J112" s="45">
        <v>68.0</v>
      </c>
      <c r="T112" s="52"/>
    </row>
    <row r="113">
      <c r="B113" s="50"/>
      <c r="C113" s="59"/>
      <c r="E113" s="47">
        <v>41841.0</v>
      </c>
      <c r="F113" t="str">
        <f t="shared" si="2"/>
        <v>2014-07</v>
      </c>
      <c r="H113" s="52"/>
      <c r="J113" s="45">
        <v>87.0</v>
      </c>
      <c r="T113" s="52"/>
    </row>
    <row r="114">
      <c r="B114" s="50"/>
      <c r="C114" s="59"/>
      <c r="E114" s="47">
        <v>41884.0</v>
      </c>
      <c r="F114" t="str">
        <f t="shared" si="2"/>
        <v>2014-09</v>
      </c>
      <c r="H114" s="52"/>
      <c r="J114" s="45">
        <v>102.0</v>
      </c>
      <c r="T114" s="52"/>
    </row>
    <row r="115">
      <c r="B115" s="50"/>
      <c r="C115" s="59"/>
      <c r="E115" s="47">
        <v>41917.0</v>
      </c>
      <c r="F115" t="str">
        <f t="shared" si="2"/>
        <v>2014-10</v>
      </c>
      <c r="H115" s="52"/>
      <c r="J115" s="45">
        <v>56.0</v>
      </c>
      <c r="T115" s="52"/>
    </row>
    <row r="116">
      <c r="B116" s="50"/>
      <c r="C116" s="59"/>
      <c r="E116" s="47">
        <v>41951.0</v>
      </c>
      <c r="F116" t="str">
        <f t="shared" si="2"/>
        <v>2014-11</v>
      </c>
      <c r="H116" s="52"/>
      <c r="J116" s="45">
        <v>54.0</v>
      </c>
      <c r="T116" s="52"/>
    </row>
    <row r="117">
      <c r="B117" s="50"/>
      <c r="C117" s="59"/>
      <c r="E117" s="47">
        <v>41982.0</v>
      </c>
      <c r="F117" t="str">
        <f t="shared" si="2"/>
        <v>2014-12</v>
      </c>
      <c r="H117" s="52"/>
      <c r="J117" s="45">
        <v>41.0</v>
      </c>
      <c r="T117" s="52"/>
    </row>
    <row r="118">
      <c r="B118" s="50"/>
      <c r="C118" s="59"/>
      <c r="E118" s="47">
        <v>41996.0</v>
      </c>
      <c r="F118" t="str">
        <f t="shared" si="2"/>
        <v>2014-12</v>
      </c>
      <c r="H118" s="52"/>
      <c r="J118" s="45">
        <v>22.0</v>
      </c>
      <c r="T118" s="52"/>
    </row>
    <row r="119">
      <c r="B119" s="50"/>
      <c r="C119" s="59"/>
      <c r="E119" s="47">
        <v>42223.0</v>
      </c>
      <c r="F119" t="str">
        <f t="shared" si="2"/>
        <v>2015-08</v>
      </c>
      <c r="H119" s="52"/>
      <c r="J119" s="45">
        <v>0.0</v>
      </c>
      <c r="T119" s="52"/>
    </row>
    <row r="120">
      <c r="B120" s="50"/>
      <c r="C120" s="59"/>
      <c r="E120" s="47">
        <v>41951.0</v>
      </c>
      <c r="F120" t="str">
        <f t="shared" si="2"/>
        <v>2014-11</v>
      </c>
      <c r="H120" s="52"/>
      <c r="J120" s="45">
        <v>255.0</v>
      </c>
      <c r="T120" s="52"/>
    </row>
    <row r="121">
      <c r="B121" s="50"/>
      <c r="C121" s="59"/>
      <c r="E121" s="47">
        <v>41917.0</v>
      </c>
      <c r="F121" t="str">
        <f t="shared" si="2"/>
        <v>2014-10</v>
      </c>
      <c r="H121" s="52"/>
      <c r="J121" s="45">
        <v>201.0</v>
      </c>
      <c r="T121" s="52"/>
    </row>
    <row r="122">
      <c r="B122" s="50"/>
      <c r="C122" s="59"/>
      <c r="E122" s="47">
        <v>41996.0</v>
      </c>
      <c r="F122" t="str">
        <f t="shared" si="2"/>
        <v>2014-12</v>
      </c>
      <c r="H122" s="52"/>
      <c r="J122" s="45">
        <v>199.0</v>
      </c>
      <c r="T122" s="52"/>
    </row>
    <row r="123">
      <c r="B123" s="50"/>
      <c r="C123" s="59"/>
      <c r="E123" s="47">
        <v>42020.0</v>
      </c>
      <c r="F123" t="str">
        <f t="shared" si="2"/>
        <v>2015-01</v>
      </c>
      <c r="H123" s="52"/>
      <c r="J123" s="45">
        <v>0.0</v>
      </c>
      <c r="T123" s="52"/>
    </row>
    <row r="124">
      <c r="B124" s="50"/>
      <c r="C124" s="59"/>
      <c r="E124" s="47">
        <v>42054.0</v>
      </c>
      <c r="F124" t="str">
        <f t="shared" si="2"/>
        <v>2015-02</v>
      </c>
      <c r="H124" s="52"/>
      <c r="J124" s="45">
        <v>0.0</v>
      </c>
      <c r="T124" s="52"/>
    </row>
    <row r="125">
      <c r="B125" s="50"/>
      <c r="C125" s="59"/>
      <c r="E125" s="47">
        <v>42079.0</v>
      </c>
      <c r="F125" t="str">
        <f t="shared" si="2"/>
        <v>2015-03</v>
      </c>
      <c r="H125" s="52"/>
      <c r="J125" s="45">
        <v>0.0</v>
      </c>
      <c r="T125" s="52"/>
    </row>
    <row r="126">
      <c r="B126" s="50"/>
      <c r="C126" s="59"/>
      <c r="E126" s="47">
        <v>42114.0</v>
      </c>
      <c r="F126" t="str">
        <f t="shared" si="2"/>
        <v>2015-04</v>
      </c>
      <c r="H126" s="52"/>
      <c r="J126" s="45">
        <v>0.0</v>
      </c>
      <c r="T126" s="52"/>
    </row>
    <row r="127">
      <c r="B127" s="50"/>
      <c r="C127" s="59"/>
      <c r="E127" s="47">
        <v>42149.0</v>
      </c>
      <c r="F127" t="str">
        <f t="shared" si="2"/>
        <v>2015-05</v>
      </c>
      <c r="H127" s="52"/>
      <c r="J127" s="45">
        <v>0.0</v>
      </c>
      <c r="T127" s="52"/>
    </row>
    <row r="128">
      <c r="B128" s="50"/>
      <c r="C128" s="59"/>
      <c r="E128" s="47">
        <v>42152.0</v>
      </c>
      <c r="F128" t="str">
        <f t="shared" si="2"/>
        <v>2015-05</v>
      </c>
      <c r="H128" s="52"/>
      <c r="J128" s="45">
        <v>0.0</v>
      </c>
      <c r="T128" s="52"/>
    </row>
    <row r="129">
      <c r="B129" s="50"/>
      <c r="C129" s="59"/>
      <c r="E129" s="47">
        <v>42152.0</v>
      </c>
      <c r="F129" t="str">
        <f t="shared" si="2"/>
        <v>2015-05</v>
      </c>
      <c r="H129" s="52"/>
      <c r="J129" s="45">
        <v>0.0</v>
      </c>
      <c r="T129" s="52"/>
    </row>
    <row r="130">
      <c r="B130" s="50"/>
      <c r="C130" s="59"/>
      <c r="E130" s="47">
        <v>42185.0</v>
      </c>
      <c r="F130" t="str">
        <f t="shared" si="2"/>
        <v>2015-06</v>
      </c>
      <c r="H130" s="52"/>
      <c r="J130" s="45">
        <v>0.0</v>
      </c>
      <c r="T130" s="52"/>
    </row>
    <row r="131">
      <c r="B131" s="50"/>
      <c r="C131" s="59"/>
      <c r="E131" s="47">
        <v>42201.0</v>
      </c>
      <c r="F131" t="str">
        <f t="shared" si="2"/>
        <v>2015-07</v>
      </c>
      <c r="H131" s="52"/>
      <c r="J131" s="45">
        <v>0.0</v>
      </c>
      <c r="T131" s="52"/>
    </row>
    <row r="132">
      <c r="B132" s="50"/>
      <c r="C132" s="59"/>
      <c r="E132" s="47">
        <v>42208.0</v>
      </c>
      <c r="F132" t="str">
        <f t="shared" si="2"/>
        <v>2015-07</v>
      </c>
      <c r="H132" s="52"/>
      <c r="J132" s="45">
        <v>0.0</v>
      </c>
      <c r="T132" s="52"/>
    </row>
    <row r="133">
      <c r="B133" s="50"/>
      <c r="C133" s="59"/>
      <c r="E133" s="47">
        <v>42223.0</v>
      </c>
      <c r="F133" t="str">
        <f t="shared" si="2"/>
        <v>2015-08</v>
      </c>
      <c r="H133" s="52"/>
      <c r="J133" s="45">
        <v>0.0</v>
      </c>
      <c r="T133" s="52"/>
    </row>
    <row r="134">
      <c r="B134" s="50"/>
      <c r="C134" s="59"/>
      <c r="E134" s="47">
        <v>42314.0</v>
      </c>
      <c r="F134" t="str">
        <f t="shared" si="2"/>
        <v>2015-11</v>
      </c>
      <c r="H134" s="52"/>
      <c r="J134" s="45">
        <v>0.0</v>
      </c>
      <c r="T134" s="52"/>
    </row>
    <row r="135">
      <c r="B135" s="50"/>
      <c r="C135" s="59"/>
      <c r="E135" s="47">
        <v>42443.0</v>
      </c>
      <c r="F135" t="str">
        <f t="shared" si="2"/>
        <v>2016-03</v>
      </c>
      <c r="H135" s="52"/>
      <c r="J135" s="45">
        <v>0.0</v>
      </c>
      <c r="T135" s="52"/>
    </row>
    <row r="136">
      <c r="B136" s="50"/>
      <c r="C136" s="59"/>
      <c r="E136" s="47">
        <v>42170.0</v>
      </c>
      <c r="F136" t="str">
        <f t="shared" si="2"/>
        <v>2015-06</v>
      </c>
      <c r="H136" s="52"/>
      <c r="J136" s="45">
        <v>16.0</v>
      </c>
      <c r="T136" s="52"/>
    </row>
    <row r="137">
      <c r="B137" s="50"/>
      <c r="C137" s="59"/>
      <c r="E137" s="47">
        <v>42197.0</v>
      </c>
      <c r="F137" t="str">
        <f t="shared" si="2"/>
        <v>2015-07</v>
      </c>
      <c r="H137" s="52"/>
      <c r="J137" s="45">
        <v>0.0</v>
      </c>
      <c r="T137" s="52"/>
    </row>
    <row r="138">
      <c r="B138" s="50"/>
      <c r="C138" s="59"/>
      <c r="E138" s="47">
        <v>42209.0</v>
      </c>
      <c r="F138" t="str">
        <f t="shared" si="2"/>
        <v>2015-07</v>
      </c>
      <c r="H138" s="52"/>
      <c r="J138" s="45">
        <v>0.0</v>
      </c>
      <c r="T138" s="52"/>
    </row>
    <row r="139">
      <c r="B139" s="50"/>
      <c r="C139" s="59"/>
      <c r="E139" s="47">
        <v>42223.0</v>
      </c>
      <c r="F139" t="str">
        <f t="shared" si="2"/>
        <v>2015-08</v>
      </c>
      <c r="H139" s="52"/>
      <c r="J139" s="45">
        <v>0.0</v>
      </c>
      <c r="T139" s="52"/>
    </row>
    <row r="140">
      <c r="B140" s="50"/>
      <c r="C140" s="59"/>
      <c r="E140" s="47">
        <v>42240.0</v>
      </c>
      <c r="F140" t="str">
        <f t="shared" si="2"/>
        <v>2015-08</v>
      </c>
      <c r="H140" s="52"/>
      <c r="J140" s="45">
        <v>0.0</v>
      </c>
      <c r="T140" s="52"/>
    </row>
    <row r="141">
      <c r="B141" s="50"/>
      <c r="C141" s="59"/>
      <c r="E141" s="47">
        <v>42276.0</v>
      </c>
      <c r="F141" t="str">
        <f t="shared" si="2"/>
        <v>2015-09</v>
      </c>
      <c r="H141" s="52"/>
      <c r="J141" s="45">
        <v>0.0</v>
      </c>
      <c r="T141" s="52"/>
    </row>
    <row r="142">
      <c r="B142" s="50"/>
      <c r="C142" s="59"/>
      <c r="E142" s="47">
        <v>42279.0</v>
      </c>
      <c r="F142" t="str">
        <f t="shared" si="2"/>
        <v>2015-10</v>
      </c>
      <c r="H142" s="52"/>
      <c r="J142" s="45">
        <v>0.0</v>
      </c>
      <c r="T142" s="52"/>
    </row>
    <row r="143">
      <c r="B143" s="50"/>
      <c r="C143" s="59"/>
      <c r="E143" s="47">
        <v>42314.0</v>
      </c>
      <c r="F143" t="str">
        <f t="shared" si="2"/>
        <v>2015-11</v>
      </c>
      <c r="H143" s="52"/>
      <c r="J143" s="45">
        <v>0.0</v>
      </c>
      <c r="T143" s="52"/>
    </row>
    <row r="144">
      <c r="B144" s="50"/>
      <c r="C144" s="59"/>
      <c r="E144" s="47">
        <v>42331.0</v>
      </c>
      <c r="F144" t="str">
        <f t="shared" si="2"/>
        <v>2015-11</v>
      </c>
      <c r="H144" s="52"/>
      <c r="J144" s="45">
        <v>0.0</v>
      </c>
      <c r="T144" s="52"/>
    </row>
    <row r="145">
      <c r="B145" s="50"/>
      <c r="C145" s="59"/>
      <c r="E145" s="47">
        <v>42359.0</v>
      </c>
      <c r="F145" t="str">
        <f t="shared" si="2"/>
        <v>2015-12</v>
      </c>
      <c r="H145" s="52"/>
      <c r="J145" s="45">
        <v>0.0</v>
      </c>
      <c r="T145" s="52"/>
    </row>
    <row r="146">
      <c r="B146" s="50"/>
      <c r="C146" s="59"/>
      <c r="E146" s="47">
        <v>42394.0</v>
      </c>
      <c r="F146" t="str">
        <f t="shared" si="2"/>
        <v>2016-01</v>
      </c>
      <c r="H146" s="52"/>
      <c r="J146" s="45">
        <v>0.0</v>
      </c>
      <c r="T146" s="52"/>
    </row>
    <row r="147">
      <c r="B147" s="50"/>
      <c r="C147" s="59"/>
      <c r="E147" s="47">
        <v>42406.0</v>
      </c>
      <c r="F147" t="str">
        <f t="shared" si="2"/>
        <v>2016-02</v>
      </c>
      <c r="H147" s="52"/>
      <c r="J147" s="45">
        <v>0.0</v>
      </c>
      <c r="T147" s="52"/>
    </row>
    <row r="148">
      <c r="B148" s="50"/>
      <c r="C148" s="59"/>
      <c r="E148" s="47">
        <v>42443.0</v>
      </c>
      <c r="F148" t="str">
        <f t="shared" si="2"/>
        <v>2016-03</v>
      </c>
      <c r="H148" s="52"/>
      <c r="J148" s="45">
        <v>0.0</v>
      </c>
      <c r="T148" s="52"/>
    </row>
    <row r="149">
      <c r="B149" s="50"/>
      <c r="C149" s="59"/>
      <c r="E149" s="47">
        <v>42382.0</v>
      </c>
      <c r="F149" t="str">
        <f t="shared" si="2"/>
        <v>2016-01</v>
      </c>
      <c r="H149" s="52"/>
      <c r="J149" s="45">
        <v>0.0</v>
      </c>
      <c r="T149" s="52"/>
    </row>
    <row r="150">
      <c r="B150" s="50"/>
      <c r="C150" s="59"/>
      <c r="E150" s="47">
        <v>42407.0</v>
      </c>
      <c r="F150" t="str">
        <f t="shared" si="2"/>
        <v>2016-02</v>
      </c>
      <c r="H150" s="52"/>
      <c r="J150" s="45">
        <v>0.0</v>
      </c>
      <c r="T150" s="52"/>
    </row>
    <row r="151">
      <c r="B151" s="50"/>
      <c r="C151" s="59"/>
      <c r="E151" s="47">
        <v>42428.0</v>
      </c>
      <c r="F151" t="str">
        <f t="shared" si="2"/>
        <v>2016-02</v>
      </c>
      <c r="H151" s="52"/>
      <c r="J151" s="45">
        <v>0.0</v>
      </c>
      <c r="T151" s="52"/>
    </row>
    <row r="152">
      <c r="B152" s="50"/>
      <c r="C152" s="59"/>
      <c r="E152" s="47">
        <v>42443.0</v>
      </c>
      <c r="F152" t="str">
        <f t="shared" si="2"/>
        <v>2016-03</v>
      </c>
      <c r="H152" s="52"/>
      <c r="J152" s="45">
        <v>0.0</v>
      </c>
      <c r="T152" s="52"/>
    </row>
    <row r="153">
      <c r="B153" s="50"/>
      <c r="C153" s="59"/>
      <c r="E153" s="47">
        <v>42458.0</v>
      </c>
      <c r="F153" t="str">
        <f t="shared" si="2"/>
        <v>2016-03</v>
      </c>
      <c r="H153" s="52"/>
      <c r="J153" s="45">
        <v>0.0</v>
      </c>
      <c r="T153" s="52"/>
    </row>
    <row r="154">
      <c r="B154" s="50"/>
      <c r="C154" s="59"/>
      <c r="E154" s="47">
        <v>42493.0</v>
      </c>
      <c r="F154" t="str">
        <f t="shared" si="2"/>
        <v>2016-05</v>
      </c>
      <c r="H154" s="52"/>
      <c r="J154" s="45">
        <v>0.0</v>
      </c>
      <c r="T154" s="52"/>
    </row>
    <row r="155">
      <c r="B155" s="50"/>
      <c r="C155" s="59"/>
      <c r="E155" s="47">
        <v>42534.0</v>
      </c>
      <c r="F155" t="str">
        <f t="shared" si="2"/>
        <v>2016-06</v>
      </c>
      <c r="H155" s="52"/>
      <c r="J155" s="45">
        <v>0.0</v>
      </c>
      <c r="T155" s="52"/>
    </row>
    <row r="156">
      <c r="B156" s="50"/>
      <c r="C156" s="59"/>
      <c r="E156" s="47">
        <v>42585.0</v>
      </c>
      <c r="F156" t="str">
        <f t="shared" si="2"/>
        <v>2016-08</v>
      </c>
      <c r="H156" s="52"/>
      <c r="J156" s="45">
        <v>0.0</v>
      </c>
      <c r="T156" s="52"/>
    </row>
    <row r="157">
      <c r="B157" s="50"/>
      <c r="C157" s="59"/>
      <c r="E157" s="47">
        <v>42623.0</v>
      </c>
      <c r="F157" t="str">
        <f t="shared" si="2"/>
        <v>2016-09</v>
      </c>
      <c r="H157" s="52"/>
      <c r="J157" s="45">
        <v>0.0</v>
      </c>
      <c r="T157" s="52"/>
    </row>
    <row r="158">
      <c r="B158" s="50"/>
      <c r="C158" s="59"/>
      <c r="E158" s="47">
        <v>42628.0</v>
      </c>
      <c r="F158" t="str">
        <f t="shared" si="2"/>
        <v>2016-09</v>
      </c>
      <c r="H158" s="52"/>
      <c r="J158" s="45">
        <v>0.0</v>
      </c>
      <c r="T158" s="52"/>
    </row>
    <row r="159">
      <c r="B159" s="50"/>
      <c r="C159" s="59"/>
      <c r="E159" s="47">
        <v>42632.0</v>
      </c>
      <c r="F159" t="str">
        <f t="shared" si="2"/>
        <v>2016-09</v>
      </c>
      <c r="H159" s="52"/>
      <c r="J159" s="45">
        <v>0.0</v>
      </c>
      <c r="T159" s="52"/>
    </row>
    <row r="160">
      <c r="B160" s="50"/>
      <c r="C160" s="59"/>
      <c r="E160" s="47">
        <v>42619.0</v>
      </c>
      <c r="F160" t="str">
        <f t="shared" si="2"/>
        <v>2016-09</v>
      </c>
      <c r="H160" s="52"/>
      <c r="J160" s="45">
        <v>0.0</v>
      </c>
      <c r="T160" s="52"/>
    </row>
    <row r="161">
      <c r="B161" s="50"/>
      <c r="C161" s="59"/>
      <c r="E161" s="47">
        <v>42632.0</v>
      </c>
      <c r="F161" t="str">
        <f t="shared" si="2"/>
        <v>2016-09</v>
      </c>
      <c r="H161" s="52"/>
      <c r="J161" s="45">
        <v>0.0</v>
      </c>
      <c r="T161" s="52"/>
    </row>
    <row r="162">
      <c r="B162" s="50"/>
      <c r="C162" s="59"/>
      <c r="E162" s="47">
        <v>42654.0</v>
      </c>
      <c r="F162" t="str">
        <f t="shared" si="2"/>
        <v>2016-10</v>
      </c>
      <c r="H162" s="52"/>
      <c r="J162" s="45">
        <v>0.0</v>
      </c>
      <c r="T162" s="52"/>
    </row>
    <row r="163">
      <c r="B163" s="50"/>
      <c r="C163" s="59"/>
      <c r="E163" s="47">
        <v>42682.0</v>
      </c>
      <c r="F163" t="str">
        <f t="shared" si="2"/>
        <v>2016-11</v>
      </c>
      <c r="H163" s="52"/>
      <c r="J163" s="45">
        <v>0.0</v>
      </c>
      <c r="T163" s="52"/>
    </row>
    <row r="164">
      <c r="B164" s="50"/>
      <c r="C164" s="59"/>
      <c r="E164" s="47">
        <v>42702.0</v>
      </c>
      <c r="F164" t="str">
        <f t="shared" si="2"/>
        <v>2016-11</v>
      </c>
      <c r="H164" s="52"/>
      <c r="J164" s="45">
        <v>0.0</v>
      </c>
      <c r="T164" s="52"/>
    </row>
    <row r="165">
      <c r="B165" s="50"/>
      <c r="C165" s="59"/>
      <c r="E165" s="47">
        <v>42727.0</v>
      </c>
      <c r="F165" t="str">
        <f t="shared" si="2"/>
        <v>2016-12</v>
      </c>
      <c r="H165" s="52"/>
      <c r="J165" s="45">
        <v>0.0</v>
      </c>
      <c r="T165" s="52"/>
    </row>
    <row r="166">
      <c r="B166" s="50"/>
      <c r="C166" s="59"/>
      <c r="E166" s="47">
        <v>42759.0</v>
      </c>
      <c r="F166" t="str">
        <f t="shared" si="2"/>
        <v>2017-01</v>
      </c>
      <c r="H166" s="52"/>
      <c r="J166" s="45">
        <v>0.0</v>
      </c>
      <c r="T166" s="52"/>
    </row>
    <row r="167">
      <c r="B167" s="50"/>
      <c r="C167" s="59"/>
      <c r="E167" s="47">
        <v>42795.0</v>
      </c>
      <c r="F167" t="str">
        <f t="shared" si="2"/>
        <v>2017-03</v>
      </c>
      <c r="H167" s="52"/>
      <c r="J167" s="45">
        <v>0.0</v>
      </c>
      <c r="T167" s="52"/>
    </row>
    <row r="168">
      <c r="B168" s="50"/>
      <c r="C168" s="59"/>
      <c r="E168" s="47">
        <v>42827.0</v>
      </c>
      <c r="F168" t="str">
        <f t="shared" si="2"/>
        <v>2017-04</v>
      </c>
      <c r="H168" s="52"/>
      <c r="J168" s="45">
        <v>0.0</v>
      </c>
      <c r="T168" s="52"/>
    </row>
    <row r="169">
      <c r="B169" s="50"/>
      <c r="C169" s="59"/>
      <c r="E169" s="47">
        <v>42847.0</v>
      </c>
      <c r="F169" t="str">
        <f t="shared" si="2"/>
        <v>2017-04</v>
      </c>
      <c r="H169" s="52"/>
      <c r="J169" s="45">
        <v>0.0</v>
      </c>
      <c r="T169" s="52"/>
    </row>
    <row r="170">
      <c r="B170" s="50"/>
      <c r="C170" s="59"/>
      <c r="E170" s="47">
        <v>42881.0</v>
      </c>
      <c r="F170" t="str">
        <f t="shared" si="2"/>
        <v>2017-05</v>
      </c>
      <c r="H170" s="52"/>
      <c r="J170" s="45">
        <v>0.0</v>
      </c>
      <c r="T170" s="52"/>
    </row>
    <row r="171">
      <c r="B171" s="50"/>
      <c r="C171" s="59"/>
      <c r="E171" s="47">
        <v>42913.0</v>
      </c>
      <c r="F171" t="str">
        <f t="shared" si="2"/>
        <v>2017-06</v>
      </c>
      <c r="H171" s="52"/>
      <c r="J171" s="45">
        <v>0.0</v>
      </c>
      <c r="T171" s="52"/>
    </row>
    <row r="172">
      <c r="B172" s="50"/>
      <c r="C172" s="59"/>
      <c r="E172" s="47">
        <v>42938.0</v>
      </c>
      <c r="F172" t="str">
        <f t="shared" si="2"/>
        <v>2017-07</v>
      </c>
      <c r="H172" s="52"/>
      <c r="J172" s="45">
        <v>0.0</v>
      </c>
      <c r="T172" s="52"/>
    </row>
    <row r="173">
      <c r="B173" s="50"/>
      <c r="C173" s="59"/>
      <c r="E173" s="47">
        <v>42955.0</v>
      </c>
      <c r="F173" t="str">
        <f t="shared" si="2"/>
        <v>2017-08</v>
      </c>
      <c r="H173" s="52"/>
      <c r="J173" s="45">
        <v>0.0</v>
      </c>
      <c r="T173" s="52"/>
    </row>
    <row r="174">
      <c r="B174" s="50"/>
      <c r="C174" s="59"/>
      <c r="E174" s="47">
        <v>42977.0</v>
      </c>
      <c r="F174" t="str">
        <f t="shared" si="2"/>
        <v>2017-08</v>
      </c>
      <c r="H174" s="52"/>
      <c r="J174" s="45">
        <v>0.0</v>
      </c>
      <c r="T174" s="52"/>
    </row>
    <row r="175">
      <c r="B175" s="50"/>
      <c r="C175" s="59"/>
      <c r="E175" s="47">
        <v>42996.0</v>
      </c>
      <c r="F175" t="str">
        <f t="shared" si="2"/>
        <v>2017-09</v>
      </c>
      <c r="H175" s="52"/>
      <c r="J175" s="45">
        <v>0.0</v>
      </c>
      <c r="T175" s="52"/>
    </row>
    <row r="176">
      <c r="B176" s="50"/>
      <c r="C176" s="59"/>
      <c r="E176" s="47">
        <v>43027.0</v>
      </c>
      <c r="F176" t="str">
        <f t="shared" si="2"/>
        <v>2017-10</v>
      </c>
      <c r="H176" s="52"/>
      <c r="J176" s="45">
        <v>0.0</v>
      </c>
      <c r="T176" s="52"/>
    </row>
    <row r="177">
      <c r="B177" s="50"/>
      <c r="C177" s="59"/>
      <c r="E177" s="47">
        <v>42006.0</v>
      </c>
      <c r="F177" t="str">
        <f t="shared" si="2"/>
        <v>2015-01</v>
      </c>
      <c r="H177" s="52"/>
      <c r="J177" s="45">
        <v>8073.0</v>
      </c>
      <c r="T177" s="52"/>
    </row>
    <row r="178">
      <c r="B178" s="50"/>
      <c r="C178" s="59"/>
      <c r="E178" s="47">
        <v>42044.0</v>
      </c>
      <c r="F178" t="str">
        <f t="shared" si="2"/>
        <v>2015-02</v>
      </c>
      <c r="H178" s="52"/>
      <c r="J178" s="45">
        <v>428.0</v>
      </c>
      <c r="T178" s="52"/>
    </row>
    <row r="179">
      <c r="B179" s="50"/>
      <c r="C179" s="59"/>
      <c r="E179" s="47">
        <v>41815.0</v>
      </c>
      <c r="F179" t="str">
        <f t="shared" si="2"/>
        <v>2014-06</v>
      </c>
      <c r="H179" s="52"/>
      <c r="J179" s="45">
        <v>5382.0</v>
      </c>
      <c r="T179" s="52"/>
    </row>
    <row r="180">
      <c r="B180" s="50"/>
      <c r="C180" s="59"/>
      <c r="E180" s="47">
        <v>41848.0</v>
      </c>
      <c r="F180" t="str">
        <f t="shared" si="2"/>
        <v>2014-07</v>
      </c>
      <c r="H180" s="52"/>
      <c r="J180" s="45">
        <v>519.0</v>
      </c>
      <c r="T180" s="52"/>
    </row>
    <row r="181">
      <c r="B181" s="50"/>
      <c r="C181" s="59"/>
      <c r="E181" s="47">
        <v>41874.0</v>
      </c>
      <c r="F181" t="str">
        <f t="shared" si="2"/>
        <v>2014-08</v>
      </c>
      <c r="H181" s="52"/>
      <c r="J181" s="45">
        <v>572.0</v>
      </c>
      <c r="T181" s="52"/>
    </row>
    <row r="182">
      <c r="B182" s="50"/>
      <c r="C182" s="59"/>
      <c r="E182" s="47">
        <v>41910.0</v>
      </c>
      <c r="F182" t="str">
        <f t="shared" si="2"/>
        <v>2014-09</v>
      </c>
      <c r="H182" s="52"/>
      <c r="J182" s="45">
        <v>833.0</v>
      </c>
      <c r="T182" s="52"/>
    </row>
    <row r="183">
      <c r="B183" s="50"/>
      <c r="C183" s="59"/>
      <c r="E183" s="47">
        <v>41960.0</v>
      </c>
      <c r="F183" t="str">
        <f t="shared" si="2"/>
        <v>2014-11</v>
      </c>
      <c r="H183" s="52"/>
      <c r="J183" s="45">
        <v>735.0</v>
      </c>
      <c r="T183" s="52"/>
    </row>
    <row r="184">
      <c r="B184" s="50"/>
      <c r="C184" s="59"/>
      <c r="E184" s="47">
        <v>41644.0</v>
      </c>
      <c r="F184" t="str">
        <f t="shared" si="2"/>
        <v>2014-01</v>
      </c>
      <c r="H184" s="52"/>
      <c r="J184" s="45">
        <v>2908.0</v>
      </c>
      <c r="T184" s="52"/>
    </row>
    <row r="185">
      <c r="B185" s="50"/>
      <c r="C185" s="59"/>
      <c r="E185" s="47">
        <v>41710.0</v>
      </c>
      <c r="F185" t="str">
        <f t="shared" si="2"/>
        <v>2014-03</v>
      </c>
      <c r="H185" s="52"/>
      <c r="J185" s="45">
        <v>1161.0</v>
      </c>
      <c r="T185" s="52"/>
    </row>
    <row r="186">
      <c r="B186" s="50"/>
      <c r="C186" s="59"/>
      <c r="E186" s="47">
        <v>41765.0</v>
      </c>
      <c r="F186" t="str">
        <f t="shared" si="2"/>
        <v>2014-05</v>
      </c>
      <c r="H186" s="52"/>
      <c r="J186" s="45">
        <v>1314.0</v>
      </c>
      <c r="T186" s="52"/>
    </row>
    <row r="187">
      <c r="B187" s="50"/>
      <c r="C187" s="59"/>
      <c r="E187" s="47">
        <v>42085.0</v>
      </c>
      <c r="F187" t="str">
        <f t="shared" si="2"/>
        <v>2015-03</v>
      </c>
      <c r="H187" s="52"/>
      <c r="J187" s="45">
        <v>4927.0</v>
      </c>
      <c r="T187" s="52"/>
    </row>
    <row r="188">
      <c r="B188" s="50"/>
      <c r="C188" s="59"/>
      <c r="E188" s="47">
        <v>42099.0</v>
      </c>
      <c r="F188" t="str">
        <f t="shared" si="2"/>
        <v>2015-04</v>
      </c>
      <c r="H188" s="52"/>
      <c r="J188" s="45">
        <v>154.0</v>
      </c>
      <c r="T188" s="52"/>
    </row>
    <row r="189">
      <c r="B189" s="50"/>
      <c r="C189" s="59"/>
      <c r="E189" s="47">
        <v>42114.0</v>
      </c>
      <c r="F189" t="str">
        <f t="shared" si="2"/>
        <v>2015-04</v>
      </c>
      <c r="H189" s="52"/>
      <c r="J189" s="45">
        <v>80.0</v>
      </c>
      <c r="T189" s="52"/>
    </row>
    <row r="190">
      <c r="B190" s="50"/>
      <c r="C190" s="59"/>
      <c r="E190" s="47">
        <v>42127.0</v>
      </c>
      <c r="F190" t="str">
        <f t="shared" si="2"/>
        <v>2015-05</v>
      </c>
      <c r="H190" s="52"/>
      <c r="J190" s="45">
        <v>124.0</v>
      </c>
      <c r="T190" s="52"/>
    </row>
    <row r="191">
      <c r="B191" s="50"/>
      <c r="C191" s="59"/>
      <c r="E191" s="47">
        <v>42132.0</v>
      </c>
      <c r="F191" t="str">
        <f t="shared" si="2"/>
        <v>2015-05</v>
      </c>
      <c r="H191" s="52"/>
      <c r="J191" s="45">
        <v>54.0</v>
      </c>
      <c r="T191" s="52"/>
    </row>
    <row r="192">
      <c r="B192" s="50"/>
      <c r="C192" s="59"/>
      <c r="E192" s="47">
        <v>42142.0</v>
      </c>
      <c r="F192" t="str">
        <f t="shared" si="2"/>
        <v>2015-05</v>
      </c>
      <c r="H192" s="52"/>
      <c r="J192" s="45">
        <v>83.0</v>
      </c>
      <c r="T192" s="52"/>
    </row>
    <row r="193">
      <c r="B193" s="50"/>
      <c r="C193" s="59"/>
      <c r="E193" s="47">
        <v>42152.0</v>
      </c>
      <c r="F193" t="str">
        <f t="shared" si="2"/>
        <v>2015-05</v>
      </c>
      <c r="H193" s="52"/>
      <c r="J193" s="45">
        <v>56.0</v>
      </c>
      <c r="T193" s="52"/>
    </row>
    <row r="194">
      <c r="B194" s="50"/>
      <c r="C194" s="59"/>
      <c r="E194" s="47">
        <v>42170.0</v>
      </c>
      <c r="F194" t="str">
        <f t="shared" si="2"/>
        <v>2015-06</v>
      </c>
      <c r="H194" s="52"/>
      <c r="J194" s="45">
        <v>135.0</v>
      </c>
      <c r="T194" s="52"/>
    </row>
    <row r="195">
      <c r="B195" s="50"/>
      <c r="C195" s="59"/>
      <c r="E195" s="47">
        <v>42183.0</v>
      </c>
      <c r="F195" t="str">
        <f t="shared" si="2"/>
        <v>2015-06</v>
      </c>
      <c r="H195" s="52"/>
      <c r="J195" s="45">
        <v>96.0</v>
      </c>
      <c r="T195" s="52"/>
    </row>
    <row r="196">
      <c r="B196" s="50"/>
      <c r="C196" s="59"/>
      <c r="E196" s="47">
        <v>42202.0</v>
      </c>
      <c r="F196" t="str">
        <f t="shared" si="2"/>
        <v>2015-07</v>
      </c>
      <c r="H196" s="52"/>
      <c r="J196" s="45">
        <v>99.0</v>
      </c>
      <c r="T196" s="52"/>
    </row>
    <row r="197">
      <c r="B197" s="50"/>
      <c r="C197" s="59"/>
      <c r="E197" s="47">
        <v>42206.0</v>
      </c>
      <c r="F197" t="str">
        <f t="shared" si="2"/>
        <v>2015-07</v>
      </c>
      <c r="H197" s="52"/>
      <c r="J197" s="45">
        <v>25.0</v>
      </c>
      <c r="T197" s="52"/>
    </row>
    <row r="198">
      <c r="B198" s="50"/>
      <c r="C198" s="59"/>
      <c r="E198" s="47">
        <v>42222.0</v>
      </c>
      <c r="F198" t="str">
        <f t="shared" si="2"/>
        <v>2015-08</v>
      </c>
      <c r="H198" s="52"/>
      <c r="J198" s="45">
        <v>66.0</v>
      </c>
      <c r="T198" s="52"/>
    </row>
    <row r="199">
      <c r="B199" s="50"/>
      <c r="C199" s="59"/>
      <c r="E199" s="47">
        <v>42238.0</v>
      </c>
      <c r="F199" t="str">
        <f t="shared" si="2"/>
        <v>2015-08</v>
      </c>
      <c r="H199" s="52"/>
      <c r="J199" s="45">
        <v>46.0</v>
      </c>
      <c r="T199" s="52"/>
    </row>
    <row r="200">
      <c r="B200" s="50"/>
      <c r="C200" s="59"/>
      <c r="E200" s="47">
        <v>42254.0</v>
      </c>
      <c r="F200" t="str">
        <f t="shared" si="2"/>
        <v>2015-09</v>
      </c>
      <c r="H200" s="52"/>
      <c r="J200" s="45">
        <v>46.0</v>
      </c>
      <c r="T200" s="52"/>
    </row>
    <row r="201">
      <c r="B201" s="50"/>
      <c r="C201" s="59"/>
      <c r="E201" s="47">
        <v>42269.0</v>
      </c>
      <c r="F201" t="str">
        <f t="shared" si="2"/>
        <v>2015-09</v>
      </c>
      <c r="H201" s="52"/>
      <c r="J201" s="45">
        <v>53.0</v>
      </c>
      <c r="T201" s="52"/>
    </row>
    <row r="202">
      <c r="B202" s="50"/>
      <c r="C202" s="59"/>
      <c r="E202" s="47">
        <v>42314.0</v>
      </c>
      <c r="F202" t="str">
        <f t="shared" si="2"/>
        <v>2015-11</v>
      </c>
      <c r="H202" s="52"/>
      <c r="J202" s="45">
        <v>0.0</v>
      </c>
      <c r="T202" s="52"/>
    </row>
    <row r="203">
      <c r="B203" s="50"/>
      <c r="C203" s="59"/>
      <c r="E203" s="47">
        <v>42421.0</v>
      </c>
      <c r="F203" t="str">
        <f t="shared" si="2"/>
        <v>2016-02</v>
      </c>
      <c r="H203" s="52"/>
      <c r="J203" s="45">
        <v>0.0</v>
      </c>
      <c r="T203" s="52"/>
    </row>
    <row r="204">
      <c r="B204" s="50"/>
      <c r="C204" s="59"/>
      <c r="E204" s="47">
        <v>42443.0</v>
      </c>
      <c r="F204" t="str">
        <f t="shared" si="2"/>
        <v>2016-03</v>
      </c>
      <c r="H204" s="52"/>
      <c r="J204" s="45">
        <v>0.0</v>
      </c>
      <c r="T204" s="52"/>
    </row>
    <row r="205">
      <c r="B205" s="50"/>
      <c r="C205" s="59"/>
      <c r="E205" s="47">
        <v>42458.0</v>
      </c>
      <c r="F205" t="str">
        <f t="shared" si="2"/>
        <v>2016-03</v>
      </c>
      <c r="H205" s="52"/>
      <c r="J205" s="45">
        <v>0.0</v>
      </c>
      <c r="T205" s="52"/>
    </row>
    <row r="206">
      <c r="B206" s="50"/>
      <c r="C206" s="59"/>
      <c r="E206" s="47">
        <v>42700.0</v>
      </c>
      <c r="F206" t="str">
        <f t="shared" si="2"/>
        <v>2016-11</v>
      </c>
      <c r="H206" s="52"/>
      <c r="J206" s="45">
        <v>0.0</v>
      </c>
      <c r="T206" s="52"/>
    </row>
    <row r="207">
      <c r="B207" s="50"/>
      <c r="C207" s="59"/>
      <c r="E207" s="47">
        <v>42246.0</v>
      </c>
      <c r="F207" t="str">
        <f t="shared" si="2"/>
        <v>2015-08</v>
      </c>
      <c r="H207" s="52"/>
      <c r="J207" s="45">
        <v>494.0</v>
      </c>
      <c r="T207" s="52"/>
    </row>
    <row r="208">
      <c r="B208" s="50"/>
      <c r="C208" s="59"/>
      <c r="E208" s="47">
        <v>42217.0</v>
      </c>
      <c r="F208" t="str">
        <f t="shared" si="2"/>
        <v>2015-08</v>
      </c>
      <c r="H208" s="52"/>
      <c r="J208" s="45">
        <v>385.0</v>
      </c>
      <c r="T208" s="52"/>
    </row>
    <row r="209">
      <c r="B209" s="50"/>
      <c r="C209" s="59"/>
      <c r="E209" s="47">
        <v>42222.0</v>
      </c>
      <c r="F209" t="str">
        <f t="shared" si="2"/>
        <v>2015-08</v>
      </c>
      <c r="H209" s="52"/>
      <c r="J209" s="45">
        <v>42.0</v>
      </c>
      <c r="T209" s="52"/>
    </row>
    <row r="210">
      <c r="B210" s="50"/>
      <c r="C210" s="59"/>
      <c r="E210" s="47">
        <v>42267.0</v>
      </c>
      <c r="F210" t="str">
        <f t="shared" si="2"/>
        <v>2015-09</v>
      </c>
      <c r="H210" s="52"/>
      <c r="J210" s="45">
        <v>316.0</v>
      </c>
      <c r="T210" s="52"/>
    </row>
    <row r="211">
      <c r="B211" s="50"/>
      <c r="C211" s="59"/>
      <c r="E211" s="47">
        <v>42284.0</v>
      </c>
      <c r="F211" t="str">
        <f t="shared" si="2"/>
        <v>2015-10</v>
      </c>
      <c r="H211" s="52"/>
      <c r="J211" s="45">
        <v>86.0</v>
      </c>
      <c r="T211" s="52"/>
    </row>
    <row r="212">
      <c r="B212" s="50"/>
      <c r="C212" s="59"/>
      <c r="E212" s="47">
        <v>42296.0</v>
      </c>
      <c r="F212" t="str">
        <f t="shared" si="2"/>
        <v>2015-10</v>
      </c>
      <c r="H212" s="52"/>
      <c r="J212" s="45">
        <v>96.0</v>
      </c>
      <c r="T212" s="52"/>
    </row>
    <row r="213">
      <c r="B213" s="50"/>
      <c r="C213" s="59"/>
      <c r="E213" s="47">
        <v>42302.0</v>
      </c>
      <c r="F213" t="str">
        <f t="shared" si="2"/>
        <v>2015-10</v>
      </c>
      <c r="H213" s="52"/>
      <c r="J213" s="45">
        <v>37.0</v>
      </c>
      <c r="T213" s="52"/>
    </row>
    <row r="214">
      <c r="B214" s="50"/>
      <c r="C214" s="59"/>
      <c r="E214" s="47">
        <v>42314.0</v>
      </c>
      <c r="F214" t="str">
        <f t="shared" si="2"/>
        <v>2015-11</v>
      </c>
      <c r="H214" s="52"/>
      <c r="J214" s="45">
        <v>51.0</v>
      </c>
      <c r="T214" s="52"/>
    </row>
    <row r="215">
      <c r="B215" s="50"/>
      <c r="C215" s="59"/>
      <c r="E215" s="47">
        <v>42338.0</v>
      </c>
      <c r="F215" t="str">
        <f t="shared" si="2"/>
        <v>2015-11</v>
      </c>
      <c r="H215" s="52"/>
      <c r="J215" s="45">
        <v>88.0</v>
      </c>
      <c r="T215" s="52"/>
    </row>
    <row r="216">
      <c r="B216" s="50"/>
      <c r="C216" s="59"/>
      <c r="E216" s="47">
        <v>42361.0</v>
      </c>
      <c r="F216" t="str">
        <f t="shared" si="2"/>
        <v>2015-12</v>
      </c>
      <c r="H216" s="52"/>
      <c r="J216" s="45">
        <v>132.0</v>
      </c>
      <c r="T216" s="52"/>
    </row>
    <row r="217">
      <c r="B217" s="50"/>
      <c r="C217" s="59"/>
      <c r="E217" s="47">
        <v>42378.0</v>
      </c>
      <c r="F217" t="str">
        <f t="shared" si="2"/>
        <v>2016-01</v>
      </c>
      <c r="H217" s="52"/>
      <c r="J217" s="45">
        <v>120.0</v>
      </c>
      <c r="T217" s="52"/>
    </row>
    <row r="218">
      <c r="B218" s="50"/>
      <c r="C218" s="59"/>
      <c r="E218" s="47">
        <v>42393.0</v>
      </c>
      <c r="F218" t="str">
        <f t="shared" si="2"/>
        <v>2016-01</v>
      </c>
      <c r="H218" s="52"/>
      <c r="J218" s="45">
        <v>100.0</v>
      </c>
      <c r="T218" s="52"/>
    </row>
    <row r="219">
      <c r="B219" s="50"/>
      <c r="C219" s="59"/>
      <c r="E219" s="47">
        <v>42399.0</v>
      </c>
      <c r="F219" t="str">
        <f t="shared" si="2"/>
        <v>2016-01</v>
      </c>
      <c r="H219" s="52"/>
      <c r="J219" s="45">
        <v>35.0</v>
      </c>
      <c r="T219" s="52"/>
    </row>
    <row r="220">
      <c r="B220" s="50"/>
      <c r="C220" s="59"/>
      <c r="E220" s="47">
        <v>42400.0</v>
      </c>
      <c r="F220" t="str">
        <f t="shared" si="2"/>
        <v>2016-01</v>
      </c>
      <c r="H220" s="52"/>
      <c r="J220" s="45">
        <v>0.0</v>
      </c>
      <c r="T220" s="52"/>
    </row>
    <row r="221">
      <c r="B221" s="50"/>
      <c r="C221" s="59"/>
      <c r="E221" s="47">
        <v>42421.0</v>
      </c>
      <c r="F221" t="str">
        <f t="shared" si="2"/>
        <v>2016-02</v>
      </c>
      <c r="H221" s="52"/>
      <c r="J221" s="45">
        <v>0.0</v>
      </c>
      <c r="T221" s="52"/>
    </row>
    <row r="222">
      <c r="B222" s="50"/>
      <c r="C222" s="59"/>
      <c r="E222" s="47">
        <v>42443.0</v>
      </c>
      <c r="F222" t="str">
        <f t="shared" si="2"/>
        <v>2016-03</v>
      </c>
      <c r="H222" s="52"/>
      <c r="J222" s="45">
        <v>0.0</v>
      </c>
      <c r="T222" s="52"/>
    </row>
    <row r="223">
      <c r="B223" s="50"/>
      <c r="C223" s="59"/>
      <c r="E223" s="47">
        <v>42458.0</v>
      </c>
      <c r="F223" t="str">
        <f t="shared" si="2"/>
        <v>2016-03</v>
      </c>
      <c r="H223" s="52"/>
      <c r="J223" s="45">
        <v>0.0</v>
      </c>
      <c r="T223" s="52"/>
    </row>
    <row r="224">
      <c r="B224" s="50"/>
      <c r="C224" s="59"/>
      <c r="E224" s="47">
        <v>42700.0</v>
      </c>
      <c r="F224" t="str">
        <f t="shared" si="2"/>
        <v>2016-11</v>
      </c>
      <c r="H224" s="52"/>
      <c r="J224" s="45">
        <v>0.0</v>
      </c>
      <c r="T224" s="52"/>
    </row>
    <row r="225">
      <c r="B225" s="50"/>
      <c r="C225" s="59"/>
      <c r="E225" s="47">
        <v>42372.0</v>
      </c>
      <c r="F225" t="str">
        <f t="shared" si="2"/>
        <v>2016-01</v>
      </c>
      <c r="H225" s="52"/>
      <c r="J225" s="45">
        <v>243.0</v>
      </c>
      <c r="T225" s="52"/>
    </row>
    <row r="226">
      <c r="B226" s="50"/>
      <c r="C226" s="59"/>
      <c r="E226" s="47">
        <v>42399.0</v>
      </c>
      <c r="F226" t="str">
        <f t="shared" si="2"/>
        <v>2016-01</v>
      </c>
      <c r="H226" s="52"/>
      <c r="J226" s="45">
        <v>204.0</v>
      </c>
      <c r="T226" s="52"/>
    </row>
    <row r="227">
      <c r="B227" s="50"/>
      <c r="C227" s="59"/>
      <c r="E227" s="47">
        <v>42400.0</v>
      </c>
      <c r="F227" t="str">
        <f t="shared" si="2"/>
        <v>2016-01</v>
      </c>
      <c r="H227" s="52"/>
      <c r="J227" s="45">
        <v>9.0</v>
      </c>
      <c r="T227" s="52"/>
    </row>
    <row r="228">
      <c r="B228" s="50"/>
      <c r="C228" s="59"/>
      <c r="E228" s="47">
        <v>42412.0</v>
      </c>
      <c r="F228" t="str">
        <f t="shared" si="2"/>
        <v>2016-02</v>
      </c>
      <c r="H228" s="52"/>
      <c r="J228" s="45">
        <v>121.0</v>
      </c>
      <c r="T228" s="52"/>
    </row>
    <row r="229">
      <c r="B229" s="50"/>
      <c r="C229" s="59"/>
      <c r="E229" s="47">
        <v>42421.0</v>
      </c>
      <c r="F229" t="str">
        <f t="shared" si="2"/>
        <v>2016-02</v>
      </c>
      <c r="H229" s="52"/>
      <c r="J229" s="45">
        <v>79.0</v>
      </c>
      <c r="T229" s="52"/>
    </row>
    <row r="230">
      <c r="B230" s="50"/>
      <c r="C230" s="59"/>
      <c r="E230" s="47">
        <v>42436.0</v>
      </c>
      <c r="F230" t="str">
        <f t="shared" si="2"/>
        <v>2016-03</v>
      </c>
      <c r="H230" s="52"/>
      <c r="J230" s="45">
        <v>107.0</v>
      </c>
      <c r="T230" s="52"/>
    </row>
    <row r="231">
      <c r="B231" s="50"/>
      <c r="C231" s="59"/>
      <c r="E231" s="47">
        <v>42443.0</v>
      </c>
      <c r="F231" t="str">
        <f t="shared" si="2"/>
        <v>2016-03</v>
      </c>
      <c r="H231" s="52"/>
      <c r="J231" s="45">
        <v>29.0</v>
      </c>
      <c r="T231" s="52"/>
    </row>
    <row r="232">
      <c r="B232" s="50"/>
      <c r="C232" s="59"/>
      <c r="E232" s="47">
        <v>42458.0</v>
      </c>
      <c r="F232" t="str">
        <f t="shared" si="2"/>
        <v>2016-03</v>
      </c>
      <c r="H232" s="52"/>
      <c r="J232" s="45">
        <v>123.0</v>
      </c>
      <c r="T232" s="52"/>
    </row>
    <row r="233">
      <c r="B233" s="50"/>
      <c r="C233" s="59"/>
      <c r="E233" s="47">
        <v>42471.0</v>
      </c>
      <c r="F233" t="str">
        <f t="shared" si="2"/>
        <v>2016-04</v>
      </c>
      <c r="H233" s="52"/>
      <c r="J233" s="45">
        <v>73.0</v>
      </c>
      <c r="T233" s="52"/>
    </row>
    <row r="234">
      <c r="B234" s="50"/>
      <c r="C234" s="59"/>
      <c r="E234" s="47">
        <v>42485.0</v>
      </c>
      <c r="F234" t="str">
        <f t="shared" si="2"/>
        <v>2016-04</v>
      </c>
      <c r="H234" s="52"/>
      <c r="J234" s="45">
        <v>33.0</v>
      </c>
      <c r="T234" s="52"/>
    </row>
    <row r="235">
      <c r="B235" s="50"/>
      <c r="C235" s="59"/>
      <c r="E235" s="47">
        <v>42507.0</v>
      </c>
      <c r="F235" t="str">
        <f t="shared" si="2"/>
        <v>2016-05</v>
      </c>
      <c r="H235" s="52"/>
      <c r="J235" s="45">
        <v>119.0</v>
      </c>
      <c r="T235" s="52"/>
    </row>
    <row r="236">
      <c r="B236" s="50"/>
      <c r="C236" s="59"/>
      <c r="E236" s="47">
        <v>42516.0</v>
      </c>
      <c r="F236" t="str">
        <f t="shared" si="2"/>
        <v>2016-05</v>
      </c>
      <c r="H236" s="52"/>
      <c r="J236" s="45">
        <v>36.0</v>
      </c>
      <c r="T236" s="52"/>
    </row>
    <row r="237">
      <c r="B237" s="50"/>
      <c r="C237" s="59"/>
      <c r="E237" s="47">
        <v>42542.0</v>
      </c>
      <c r="F237" t="str">
        <f t="shared" si="2"/>
        <v>2016-06</v>
      </c>
      <c r="H237" s="52"/>
      <c r="J237" s="45">
        <v>151.0</v>
      </c>
      <c r="T237" s="52"/>
    </row>
    <row r="238">
      <c r="B238" s="50"/>
      <c r="C238" s="59"/>
      <c r="E238" s="47">
        <v>42560.0</v>
      </c>
      <c r="F238" t="str">
        <f t="shared" si="2"/>
        <v>2016-07</v>
      </c>
      <c r="H238" s="52"/>
      <c r="J238" s="45">
        <v>104.0</v>
      </c>
      <c r="T238" s="52"/>
    </row>
    <row r="239">
      <c r="B239" s="50"/>
      <c r="C239" s="59"/>
      <c r="E239" s="47">
        <v>42584.0</v>
      </c>
      <c r="F239" t="str">
        <f t="shared" si="2"/>
        <v>2016-08</v>
      </c>
      <c r="H239" s="52"/>
      <c r="J239" s="45">
        <v>80.0</v>
      </c>
      <c r="T239" s="52"/>
    </row>
    <row r="240">
      <c r="B240" s="50"/>
      <c r="C240" s="59"/>
      <c r="E240" s="47">
        <v>42595.0</v>
      </c>
      <c r="F240" t="str">
        <f t="shared" si="2"/>
        <v>2016-08</v>
      </c>
      <c r="H240" s="52"/>
      <c r="J240" s="45">
        <v>32.0</v>
      </c>
      <c r="T240" s="52"/>
    </row>
    <row r="241">
      <c r="B241" s="50"/>
      <c r="C241" s="59"/>
      <c r="E241" s="47">
        <v>42588.0</v>
      </c>
      <c r="F241" t="str">
        <f t="shared" si="2"/>
        <v>2016-08</v>
      </c>
      <c r="H241" s="52"/>
      <c r="J241" s="45">
        <v>417.0</v>
      </c>
      <c r="T241" s="52"/>
    </row>
    <row r="242">
      <c r="B242" s="50"/>
      <c r="C242" s="59"/>
      <c r="E242" s="47">
        <v>42561.0</v>
      </c>
      <c r="F242" t="str">
        <f t="shared" si="2"/>
        <v>2016-07</v>
      </c>
      <c r="H242" s="52"/>
      <c r="J242" s="45">
        <v>488.0</v>
      </c>
      <c r="T242" s="52"/>
    </row>
    <row r="243">
      <c r="B243" s="50"/>
      <c r="C243" s="59"/>
      <c r="E243" s="47">
        <v>42568.0</v>
      </c>
      <c r="F243" t="str">
        <f t="shared" si="2"/>
        <v>2016-07</v>
      </c>
      <c r="H243" s="52"/>
      <c r="J243" s="45">
        <v>52.0</v>
      </c>
      <c r="T243" s="52"/>
    </row>
    <row r="244">
      <c r="B244" s="50"/>
      <c r="C244" s="59"/>
      <c r="E244" s="47">
        <v>42578.0</v>
      </c>
      <c r="F244" t="str">
        <f t="shared" si="2"/>
        <v>2016-07</v>
      </c>
      <c r="H244" s="52"/>
      <c r="J244" s="45">
        <v>42.0</v>
      </c>
      <c r="T244" s="52"/>
    </row>
    <row r="245">
      <c r="B245" s="50"/>
      <c r="C245" s="59"/>
      <c r="E245" s="47">
        <v>42595.0</v>
      </c>
      <c r="F245" t="str">
        <f t="shared" si="2"/>
        <v>2016-08</v>
      </c>
      <c r="H245" s="52"/>
      <c r="J245" s="45">
        <v>60.0</v>
      </c>
      <c r="T245" s="52"/>
    </row>
    <row r="246">
      <c r="B246" s="50"/>
      <c r="C246" s="59"/>
      <c r="E246" s="47">
        <v>42602.0</v>
      </c>
      <c r="F246" t="str">
        <f t="shared" si="2"/>
        <v>2016-08</v>
      </c>
      <c r="H246" s="52"/>
      <c r="J246" s="45">
        <v>77.0</v>
      </c>
      <c r="T246" s="52"/>
    </row>
    <row r="247">
      <c r="B247" s="50"/>
      <c r="C247" s="59"/>
      <c r="E247" s="47">
        <v>42604.0</v>
      </c>
      <c r="F247" t="str">
        <f t="shared" si="2"/>
        <v>2016-08</v>
      </c>
      <c r="H247" s="52"/>
      <c r="J247" s="45">
        <v>7.0</v>
      </c>
      <c r="T247" s="52"/>
    </row>
    <row r="248">
      <c r="B248" s="50"/>
      <c r="C248" s="59"/>
      <c r="E248" s="47">
        <v>42616.0</v>
      </c>
      <c r="F248" t="str">
        <f t="shared" si="2"/>
        <v>2016-09</v>
      </c>
      <c r="H248" s="52"/>
      <c r="J248" s="45">
        <v>90.0</v>
      </c>
      <c r="T248" s="52"/>
    </row>
    <row r="249">
      <c r="B249" s="50"/>
      <c r="C249" s="59"/>
      <c r="E249" s="47">
        <v>42638.0</v>
      </c>
      <c r="F249" t="str">
        <f t="shared" si="2"/>
        <v>2016-09</v>
      </c>
      <c r="H249" s="52"/>
      <c r="J249" s="45">
        <v>110.0</v>
      </c>
      <c r="T249" s="52"/>
    </row>
    <row r="250">
      <c r="B250" s="50"/>
      <c r="C250" s="59"/>
      <c r="E250" s="47">
        <v>42643.0</v>
      </c>
      <c r="F250" t="str">
        <f t="shared" si="2"/>
        <v>2016-09</v>
      </c>
      <c r="H250" s="52"/>
      <c r="J250" s="45">
        <v>23.0</v>
      </c>
      <c r="T250" s="52"/>
    </row>
    <row r="251">
      <c r="B251" s="50"/>
      <c r="C251" s="59"/>
      <c r="E251" s="47">
        <v>42658.0</v>
      </c>
      <c r="F251" t="str">
        <f t="shared" si="2"/>
        <v>2016-10</v>
      </c>
      <c r="H251" s="52"/>
      <c r="J251" s="45">
        <v>59.0</v>
      </c>
      <c r="T251" s="52"/>
    </row>
    <row r="252">
      <c r="B252" s="50"/>
      <c r="C252" s="59"/>
      <c r="E252" s="47">
        <v>42672.0</v>
      </c>
      <c r="F252" t="str">
        <f t="shared" si="2"/>
        <v>2016-10</v>
      </c>
      <c r="H252" s="52"/>
      <c r="J252" s="45">
        <v>36.0</v>
      </c>
      <c r="T252" s="52"/>
    </row>
    <row r="253">
      <c r="B253" s="50"/>
      <c r="C253" s="59"/>
      <c r="E253" s="47">
        <v>42681.0</v>
      </c>
      <c r="F253" t="str">
        <f t="shared" si="2"/>
        <v>2016-11</v>
      </c>
      <c r="H253" s="52"/>
      <c r="J253" s="45">
        <v>43.0</v>
      </c>
      <c r="T253" s="52"/>
    </row>
    <row r="254">
      <c r="B254" s="50"/>
      <c r="C254" s="59"/>
      <c r="E254" s="47">
        <v>42696.0</v>
      </c>
      <c r="F254" t="str">
        <f t="shared" si="2"/>
        <v>2016-11</v>
      </c>
      <c r="H254" s="52"/>
      <c r="J254" s="45">
        <v>67.0</v>
      </c>
      <c r="T254" s="52"/>
    </row>
    <row r="255">
      <c r="B255" s="50"/>
      <c r="C255" s="59"/>
      <c r="E255" s="47">
        <v>42716.0</v>
      </c>
      <c r="F255" t="str">
        <f t="shared" si="2"/>
        <v>2016-12</v>
      </c>
      <c r="H255" s="52"/>
      <c r="J255" s="45">
        <v>48.0</v>
      </c>
      <c r="T255" s="52"/>
    </row>
    <row r="256">
      <c r="B256" s="50"/>
      <c r="C256" s="59"/>
      <c r="E256" s="47">
        <v>42731.0</v>
      </c>
      <c r="F256" t="str">
        <f t="shared" si="2"/>
        <v>2016-12</v>
      </c>
      <c r="H256" s="52"/>
      <c r="J256" s="45">
        <v>36.0</v>
      </c>
      <c r="T256" s="52"/>
    </row>
    <row r="257">
      <c r="B257" s="50"/>
      <c r="C257" s="59"/>
      <c r="E257" s="47">
        <v>42749.0</v>
      </c>
      <c r="F257" t="str">
        <f t="shared" si="2"/>
        <v>2017-01</v>
      </c>
      <c r="H257" s="52"/>
      <c r="J257" s="45">
        <v>78.0</v>
      </c>
      <c r="T257" s="52"/>
    </row>
    <row r="258">
      <c r="B258" s="50"/>
      <c r="C258" s="59"/>
      <c r="E258" s="47">
        <v>42764.0</v>
      </c>
      <c r="F258" t="str">
        <f t="shared" si="2"/>
        <v>2017-01</v>
      </c>
      <c r="H258" s="52"/>
      <c r="J258" s="45">
        <v>58.0</v>
      </c>
      <c r="T258" s="52"/>
    </row>
    <row r="259">
      <c r="B259" s="50"/>
      <c r="C259" s="59"/>
      <c r="E259" s="47">
        <v>42772.0</v>
      </c>
      <c r="F259" t="str">
        <f t="shared" si="2"/>
        <v>2017-02</v>
      </c>
      <c r="H259" s="52"/>
      <c r="J259" s="45">
        <v>43.0</v>
      </c>
      <c r="T259" s="52"/>
    </row>
    <row r="260">
      <c r="B260" s="50"/>
      <c r="C260" s="59"/>
      <c r="E260" s="47">
        <v>42779.0</v>
      </c>
      <c r="F260" t="str">
        <f t="shared" si="2"/>
        <v>2017-02</v>
      </c>
      <c r="H260" s="52"/>
      <c r="J260" s="45">
        <v>36.0</v>
      </c>
      <c r="T260" s="52"/>
    </row>
    <row r="261">
      <c r="B261" s="50"/>
      <c r="C261" s="59"/>
      <c r="E261" s="47">
        <v>42832.0</v>
      </c>
      <c r="F261" t="str">
        <f t="shared" si="2"/>
        <v>2017-04</v>
      </c>
      <c r="H261" s="52"/>
      <c r="J261" s="45">
        <v>0.0</v>
      </c>
      <c r="T261" s="52"/>
    </row>
    <row r="262">
      <c r="B262" s="50"/>
      <c r="C262" s="59"/>
      <c r="E262" s="47">
        <v>42749.0</v>
      </c>
      <c r="F262" t="str">
        <f t="shared" si="2"/>
        <v>2017-01</v>
      </c>
      <c r="H262" s="52"/>
      <c r="J262" s="45">
        <v>429.0</v>
      </c>
      <c r="T262" s="52"/>
    </row>
    <row r="263">
      <c r="B263" s="50"/>
      <c r="C263" s="59"/>
      <c r="E263" s="47">
        <v>42753.0</v>
      </c>
      <c r="F263" t="str">
        <f t="shared" si="2"/>
        <v>2017-01</v>
      </c>
      <c r="H263" s="52"/>
      <c r="J263" s="45">
        <v>44.0</v>
      </c>
      <c r="T263" s="52"/>
    </row>
    <row r="264">
      <c r="B264" s="50"/>
      <c r="C264" s="59"/>
      <c r="E264" s="47">
        <v>42758.0</v>
      </c>
      <c r="F264" t="str">
        <f t="shared" si="2"/>
        <v>2017-01</v>
      </c>
      <c r="H264" s="52"/>
      <c r="J264" s="45">
        <v>34.0</v>
      </c>
      <c r="T264" s="52"/>
    </row>
    <row r="265">
      <c r="B265" s="50"/>
      <c r="C265" s="59"/>
      <c r="E265" s="47">
        <v>42771.0</v>
      </c>
      <c r="F265" t="str">
        <f t="shared" si="2"/>
        <v>2017-02</v>
      </c>
      <c r="H265" s="52"/>
      <c r="J265" s="45">
        <v>132.0</v>
      </c>
      <c r="T265" s="52"/>
    </row>
    <row r="266">
      <c r="B266" s="50"/>
      <c r="C266" s="59"/>
      <c r="E266" s="47">
        <v>42735.0</v>
      </c>
      <c r="F266" t="str">
        <f t="shared" si="2"/>
        <v>2016-12</v>
      </c>
      <c r="H266" s="52"/>
      <c r="J266" s="45">
        <v>455.0</v>
      </c>
      <c r="T266" s="52"/>
    </row>
    <row r="267">
      <c r="B267" s="50"/>
      <c r="C267" s="59"/>
      <c r="E267" s="47">
        <v>42736.0</v>
      </c>
      <c r="F267" t="str">
        <f t="shared" si="2"/>
        <v>2017-01</v>
      </c>
      <c r="H267" s="52"/>
      <c r="J267" s="45">
        <v>468.0</v>
      </c>
      <c r="T267" s="52"/>
    </row>
    <row r="268">
      <c r="B268" s="50"/>
      <c r="C268" s="59"/>
      <c r="E268" s="47">
        <v>42737.0</v>
      </c>
      <c r="F268" t="str">
        <f t="shared" si="2"/>
        <v>2017-01</v>
      </c>
      <c r="H268" s="52"/>
      <c r="J268" s="45">
        <v>34.0</v>
      </c>
      <c r="T268" s="52"/>
    </row>
    <row r="269">
      <c r="B269" s="50"/>
      <c r="C269" s="59"/>
      <c r="E269" s="47">
        <v>42743.0</v>
      </c>
      <c r="F269" t="str">
        <f t="shared" si="2"/>
        <v>2017-01</v>
      </c>
      <c r="H269" s="52"/>
      <c r="J269" s="45">
        <v>57.0</v>
      </c>
      <c r="T269" s="52"/>
    </row>
    <row r="270">
      <c r="B270" s="50"/>
      <c r="C270" s="59"/>
      <c r="E270" s="47">
        <v>42779.0</v>
      </c>
      <c r="F270" t="str">
        <f t="shared" si="2"/>
        <v>2017-02</v>
      </c>
      <c r="H270" s="52"/>
      <c r="J270" s="45">
        <v>369.0</v>
      </c>
      <c r="T270" s="52"/>
    </row>
    <row r="271">
      <c r="B271" s="50"/>
      <c r="C271" s="59"/>
      <c r="E271" s="47">
        <v>42784.0</v>
      </c>
      <c r="F271" t="str">
        <f t="shared" si="2"/>
        <v>2017-02</v>
      </c>
      <c r="H271" s="52"/>
      <c r="J271" s="45">
        <v>51.0</v>
      </c>
      <c r="T271" s="52"/>
    </row>
    <row r="272">
      <c r="B272" s="50"/>
      <c r="C272" s="59"/>
      <c r="E272" s="47">
        <v>42789.0</v>
      </c>
      <c r="F272" t="str">
        <f t="shared" si="2"/>
        <v>2017-02</v>
      </c>
      <c r="H272" s="52"/>
      <c r="J272" s="45">
        <v>40.0</v>
      </c>
      <c r="T272" s="52"/>
    </row>
    <row r="273">
      <c r="B273" s="50"/>
      <c r="C273" s="59"/>
      <c r="E273" s="47">
        <v>42804.0</v>
      </c>
      <c r="F273" t="str">
        <f t="shared" si="2"/>
        <v>2017-03</v>
      </c>
      <c r="H273" s="52"/>
      <c r="J273" s="45">
        <v>110.0</v>
      </c>
      <c r="T273" s="52"/>
    </row>
    <row r="274">
      <c r="B274" s="50"/>
      <c r="C274" s="59"/>
      <c r="E274" s="47">
        <v>42823.0</v>
      </c>
      <c r="F274" t="str">
        <f t="shared" si="2"/>
        <v>2017-03</v>
      </c>
      <c r="H274" s="52"/>
      <c r="J274" s="45">
        <v>45.0</v>
      </c>
      <c r="T274" s="52"/>
    </row>
    <row r="275">
      <c r="B275" s="50"/>
      <c r="C275" s="59"/>
      <c r="E275" s="47">
        <v>42832.0</v>
      </c>
      <c r="F275" t="str">
        <f t="shared" si="2"/>
        <v>2017-04</v>
      </c>
      <c r="H275" s="52"/>
      <c r="J275" s="45">
        <v>14.0</v>
      </c>
      <c r="T275" s="52"/>
    </row>
    <row r="276">
      <c r="B276" s="50"/>
      <c r="C276" s="59"/>
      <c r="E276" s="47">
        <v>42858.0</v>
      </c>
      <c r="F276" t="str">
        <f t="shared" si="2"/>
        <v>2017-05</v>
      </c>
      <c r="H276" s="52"/>
      <c r="J276" s="45">
        <v>87.0</v>
      </c>
      <c r="T276" s="52"/>
    </row>
    <row r="277">
      <c r="B277" s="50"/>
      <c r="C277" s="59"/>
      <c r="E277" s="47">
        <v>42875.0</v>
      </c>
      <c r="F277" t="str">
        <f t="shared" si="2"/>
        <v>2017-05</v>
      </c>
      <c r="H277" s="52"/>
      <c r="J277" s="45">
        <v>38.0</v>
      </c>
      <c r="T277" s="52"/>
    </row>
    <row r="278">
      <c r="B278" s="50"/>
      <c r="C278" s="59"/>
      <c r="E278" s="47">
        <v>42906.0</v>
      </c>
      <c r="F278" t="str">
        <f t="shared" si="2"/>
        <v>2017-06</v>
      </c>
      <c r="H278" s="52"/>
      <c r="J278" s="45">
        <v>143.0</v>
      </c>
      <c r="T278" s="52"/>
    </row>
    <row r="279">
      <c r="B279" s="50"/>
      <c r="C279" s="59"/>
      <c r="E279" s="47">
        <v>42912.0</v>
      </c>
      <c r="F279" t="str">
        <f t="shared" si="2"/>
        <v>2017-06</v>
      </c>
      <c r="H279" s="52"/>
      <c r="J279" s="45">
        <v>37.0</v>
      </c>
      <c r="T279" s="52"/>
    </row>
    <row r="280">
      <c r="B280" s="50"/>
      <c r="C280" s="59"/>
      <c r="E280" s="47">
        <v>42926.0</v>
      </c>
      <c r="F280" t="str">
        <f t="shared" si="2"/>
        <v>2017-07</v>
      </c>
      <c r="H280" s="52"/>
      <c r="J280" s="45">
        <v>36.0</v>
      </c>
      <c r="T280" s="52"/>
    </row>
    <row r="281">
      <c r="B281" s="50"/>
      <c r="C281" s="59"/>
      <c r="E281" s="47">
        <v>42935.0</v>
      </c>
      <c r="F281" t="str">
        <f t="shared" si="2"/>
        <v>2017-07</v>
      </c>
      <c r="H281" s="52"/>
      <c r="J281" s="45">
        <v>26.0</v>
      </c>
      <c r="T281" s="52"/>
    </row>
    <row r="282">
      <c r="B282" s="50"/>
      <c r="C282" s="59"/>
      <c r="E282" s="47">
        <v>42949.0</v>
      </c>
      <c r="F282" t="str">
        <f t="shared" si="2"/>
        <v>2017-08</v>
      </c>
      <c r="H282" s="52"/>
      <c r="J282" s="45">
        <v>36.0</v>
      </c>
      <c r="T282" s="52"/>
    </row>
    <row r="283">
      <c r="B283" s="50"/>
      <c r="C283" s="59"/>
      <c r="E283" s="47">
        <v>42964.0</v>
      </c>
      <c r="F283" t="str">
        <f t="shared" si="2"/>
        <v>2017-08</v>
      </c>
      <c r="H283" s="52"/>
      <c r="J283" s="45">
        <v>57.0</v>
      </c>
      <c r="T283" s="52"/>
    </row>
    <row r="284">
      <c r="B284" s="50"/>
      <c r="C284" s="59"/>
      <c r="E284" s="47">
        <v>42943.0</v>
      </c>
      <c r="F284" t="str">
        <f t="shared" si="2"/>
        <v>2017-07</v>
      </c>
      <c r="H284" s="52"/>
      <c r="J284" s="45">
        <v>706.0</v>
      </c>
      <c r="T284" s="52"/>
    </row>
    <row r="285">
      <c r="B285" s="50"/>
      <c r="C285" s="59"/>
      <c r="E285" s="47">
        <v>42959.0</v>
      </c>
      <c r="F285" t="str">
        <f t="shared" si="2"/>
        <v>2017-08</v>
      </c>
      <c r="H285" s="52"/>
      <c r="J285" s="45">
        <v>112.0</v>
      </c>
      <c r="T285" s="52"/>
    </row>
    <row r="286">
      <c r="B286" s="50"/>
      <c r="C286" s="59"/>
      <c r="E286" s="47">
        <v>42966.0</v>
      </c>
      <c r="F286" t="str">
        <f t="shared" si="2"/>
        <v>2017-08</v>
      </c>
      <c r="H286" s="52"/>
      <c r="J286" s="45">
        <v>779.0</v>
      </c>
      <c r="T286" s="52"/>
    </row>
    <row r="287">
      <c r="B287" s="50"/>
      <c r="C287" s="59"/>
      <c r="E287" s="47">
        <v>42976.0</v>
      </c>
      <c r="F287" t="str">
        <f t="shared" si="2"/>
        <v>2017-08</v>
      </c>
      <c r="H287" s="52"/>
      <c r="J287" s="45">
        <v>85.0</v>
      </c>
      <c r="T287" s="52"/>
    </row>
    <row r="288">
      <c r="B288" s="50"/>
      <c r="C288" s="59"/>
      <c r="E288" s="47">
        <v>42990.0</v>
      </c>
      <c r="F288" t="str">
        <f t="shared" si="2"/>
        <v>2017-09</v>
      </c>
      <c r="H288" s="52"/>
      <c r="J288" s="45">
        <v>48.0</v>
      </c>
      <c r="T288" s="52"/>
    </row>
    <row r="289">
      <c r="B289" s="50"/>
      <c r="C289" s="59"/>
      <c r="E289" s="47">
        <v>43005.0</v>
      </c>
      <c r="F289" t="str">
        <f t="shared" si="2"/>
        <v>2017-09</v>
      </c>
      <c r="H289" s="52"/>
      <c r="J289" s="45">
        <v>69.0</v>
      </c>
      <c r="T289" s="52"/>
    </row>
    <row r="290">
      <c r="B290" s="50"/>
      <c r="C290" s="59"/>
      <c r="E290" s="47">
        <v>43024.0</v>
      </c>
      <c r="F290" t="str">
        <f t="shared" si="2"/>
        <v>2017-10</v>
      </c>
      <c r="H290" s="52"/>
      <c r="J290" s="45">
        <v>75.0</v>
      </c>
      <c r="T290" s="52"/>
    </row>
    <row r="291">
      <c r="B291" s="50"/>
      <c r="C291" s="59"/>
      <c r="H291" s="52"/>
      <c r="T291" s="52"/>
    </row>
    <row r="292">
      <c r="B292" s="50"/>
      <c r="C292" s="59"/>
      <c r="H292" s="52"/>
      <c r="T292" s="52"/>
    </row>
    <row r="293">
      <c r="B293" s="50"/>
      <c r="C293" s="59"/>
      <c r="H293" s="52"/>
      <c r="T293" s="52"/>
    </row>
    <row r="294">
      <c r="B294" s="50"/>
      <c r="C294" s="59"/>
      <c r="H294" s="52"/>
      <c r="T294" s="52"/>
    </row>
    <row r="295">
      <c r="B295" s="50"/>
      <c r="C295" s="59"/>
      <c r="H295" s="52"/>
      <c r="T295" s="52"/>
    </row>
    <row r="296">
      <c r="B296" s="50"/>
      <c r="C296" s="59"/>
      <c r="H296" s="52"/>
      <c r="T296" s="52"/>
    </row>
    <row r="297">
      <c r="B297" s="50"/>
      <c r="C297" s="59"/>
      <c r="H297" s="52"/>
      <c r="T297" s="52"/>
    </row>
    <row r="298">
      <c r="B298" s="50"/>
      <c r="C298" s="59"/>
      <c r="H298" s="52"/>
      <c r="T298" s="52"/>
    </row>
    <row r="299">
      <c r="B299" s="50"/>
      <c r="C299" s="59"/>
      <c r="H299" s="52"/>
      <c r="T299" s="52"/>
    </row>
    <row r="300">
      <c r="B300" s="50"/>
      <c r="C300" s="59"/>
      <c r="H300" s="52"/>
      <c r="T300" s="52"/>
    </row>
    <row r="301">
      <c r="B301" s="50"/>
      <c r="C301" s="59"/>
      <c r="H301" s="52"/>
      <c r="T301" s="52"/>
    </row>
    <row r="302">
      <c r="B302" s="50"/>
      <c r="C302" s="59"/>
      <c r="H302" s="52"/>
      <c r="T302" s="52"/>
    </row>
    <row r="303">
      <c r="B303" s="50"/>
      <c r="C303" s="59"/>
      <c r="H303" s="52"/>
      <c r="T303" s="52"/>
    </row>
    <row r="304">
      <c r="B304" s="50"/>
      <c r="C304" s="59"/>
      <c r="H304" s="52"/>
      <c r="T304" s="52"/>
    </row>
    <row r="305">
      <c r="B305" s="50"/>
      <c r="C305" s="59"/>
      <c r="H305" s="52"/>
      <c r="T305" s="52"/>
    </row>
    <row r="306">
      <c r="B306" s="50"/>
      <c r="C306" s="59"/>
      <c r="H306" s="52"/>
      <c r="T306" s="52"/>
    </row>
    <row r="307">
      <c r="B307" s="50"/>
      <c r="C307" s="59"/>
      <c r="H307" s="52"/>
      <c r="T307" s="52"/>
    </row>
    <row r="308">
      <c r="B308" s="50"/>
      <c r="C308" s="59"/>
      <c r="H308" s="52"/>
      <c r="T308" s="52"/>
    </row>
    <row r="309">
      <c r="B309" s="50"/>
      <c r="C309" s="59"/>
      <c r="H309" s="52"/>
      <c r="T309" s="52"/>
    </row>
    <row r="310">
      <c r="B310" s="50"/>
      <c r="C310" s="59"/>
      <c r="H310" s="52"/>
      <c r="T310" s="52"/>
    </row>
    <row r="311">
      <c r="B311" s="50"/>
      <c r="C311" s="59"/>
      <c r="H311" s="52"/>
      <c r="T311" s="52"/>
    </row>
    <row r="312">
      <c r="B312" s="50"/>
      <c r="C312" s="59"/>
      <c r="H312" s="52"/>
      <c r="T312" s="52"/>
    </row>
    <row r="313">
      <c r="B313" s="50"/>
      <c r="C313" s="59"/>
      <c r="H313" s="52"/>
      <c r="T313" s="52"/>
    </row>
    <row r="314">
      <c r="B314" s="50"/>
      <c r="C314" s="59"/>
      <c r="H314" s="52"/>
      <c r="T314" s="52"/>
    </row>
    <row r="315">
      <c r="B315" s="50"/>
      <c r="C315" s="59"/>
      <c r="H315" s="52"/>
      <c r="T315" s="52"/>
    </row>
    <row r="316">
      <c r="B316" s="50"/>
      <c r="C316" s="59"/>
      <c r="H316" s="52"/>
      <c r="T316" s="52"/>
    </row>
    <row r="317">
      <c r="B317" s="50"/>
      <c r="C317" s="59"/>
      <c r="H317" s="52"/>
      <c r="T317" s="52"/>
    </row>
    <row r="318">
      <c r="B318" s="50"/>
      <c r="C318" s="59"/>
      <c r="H318" s="52"/>
      <c r="T318" s="52"/>
    </row>
    <row r="319">
      <c r="B319" s="50"/>
      <c r="C319" s="59"/>
      <c r="H319" s="52"/>
      <c r="T319" s="52"/>
    </row>
    <row r="320">
      <c r="B320" s="50"/>
      <c r="C320" s="59"/>
      <c r="H320" s="52"/>
      <c r="T320" s="52"/>
    </row>
    <row r="321">
      <c r="B321" s="50"/>
      <c r="C321" s="59"/>
      <c r="H321" s="52"/>
      <c r="T321" s="52"/>
    </row>
    <row r="322">
      <c r="B322" s="50"/>
      <c r="C322" s="59"/>
      <c r="H322" s="52"/>
      <c r="T322" s="52"/>
    </row>
    <row r="323">
      <c r="B323" s="50"/>
      <c r="C323" s="59"/>
      <c r="H323" s="52"/>
      <c r="T323" s="52"/>
    </row>
    <row r="324">
      <c r="B324" s="50"/>
      <c r="C324" s="59"/>
      <c r="H324" s="52"/>
      <c r="T324" s="52"/>
    </row>
    <row r="325">
      <c r="B325" s="50"/>
      <c r="C325" s="59"/>
      <c r="H325" s="52"/>
      <c r="T325" s="52"/>
    </row>
    <row r="326">
      <c r="B326" s="50"/>
      <c r="C326" s="59"/>
      <c r="H326" s="52"/>
      <c r="T326" s="52"/>
    </row>
    <row r="327">
      <c r="B327" s="50"/>
      <c r="C327" s="59"/>
      <c r="H327" s="52"/>
      <c r="T327" s="52"/>
    </row>
    <row r="328">
      <c r="B328" s="50"/>
      <c r="C328" s="59"/>
      <c r="H328" s="52"/>
      <c r="T328" s="52"/>
    </row>
    <row r="329">
      <c r="B329" s="50"/>
      <c r="C329" s="59"/>
      <c r="H329" s="52"/>
      <c r="T329" s="52"/>
    </row>
    <row r="330">
      <c r="B330" s="50"/>
      <c r="C330" s="59"/>
      <c r="H330" s="52"/>
      <c r="T330" s="52"/>
    </row>
    <row r="331">
      <c r="B331" s="50"/>
      <c r="C331" s="59"/>
      <c r="H331" s="52"/>
      <c r="T331" s="52"/>
    </row>
    <row r="332">
      <c r="B332" s="50"/>
      <c r="C332" s="59"/>
      <c r="H332" s="52"/>
      <c r="T332" s="52"/>
    </row>
    <row r="333">
      <c r="B333" s="50"/>
      <c r="C333" s="59"/>
      <c r="H333" s="52"/>
      <c r="T333" s="52"/>
    </row>
    <row r="334">
      <c r="B334" s="50"/>
      <c r="C334" s="59"/>
      <c r="H334" s="52"/>
      <c r="T334" s="52"/>
    </row>
    <row r="335">
      <c r="B335" s="50"/>
      <c r="C335" s="59"/>
      <c r="H335" s="52"/>
      <c r="T335" s="52"/>
    </row>
    <row r="336">
      <c r="B336" s="50"/>
      <c r="C336" s="59"/>
      <c r="H336" s="52"/>
      <c r="T336" s="52"/>
    </row>
    <row r="337">
      <c r="B337" s="50"/>
      <c r="C337" s="59"/>
      <c r="H337" s="52"/>
      <c r="T337" s="52"/>
    </row>
    <row r="338">
      <c r="B338" s="50"/>
      <c r="C338" s="59"/>
      <c r="H338" s="52"/>
      <c r="T338" s="52"/>
    </row>
    <row r="339">
      <c r="B339" s="50"/>
      <c r="C339" s="59"/>
      <c r="H339" s="52"/>
      <c r="T339" s="52"/>
    </row>
    <row r="340">
      <c r="B340" s="50"/>
      <c r="C340" s="59"/>
      <c r="H340" s="52"/>
      <c r="T340" s="52"/>
    </row>
    <row r="341">
      <c r="B341" s="50"/>
      <c r="C341" s="59"/>
      <c r="H341" s="52"/>
      <c r="T341" s="52"/>
    </row>
    <row r="342">
      <c r="B342" s="50"/>
      <c r="C342" s="59"/>
      <c r="H342" s="52"/>
      <c r="T342" s="52"/>
    </row>
    <row r="343">
      <c r="B343" s="50"/>
      <c r="C343" s="59"/>
      <c r="H343" s="52"/>
      <c r="T343" s="52"/>
    </row>
    <row r="344">
      <c r="B344" s="50"/>
      <c r="C344" s="59"/>
      <c r="H344" s="52"/>
      <c r="T344" s="52"/>
    </row>
    <row r="345">
      <c r="B345" s="50"/>
      <c r="C345" s="59"/>
      <c r="H345" s="52"/>
      <c r="T345" s="52"/>
    </row>
    <row r="346">
      <c r="B346" s="50"/>
      <c r="C346" s="59"/>
      <c r="H346" s="52"/>
      <c r="T346" s="52"/>
    </row>
    <row r="347">
      <c r="B347" s="50"/>
      <c r="C347" s="59"/>
      <c r="H347" s="52"/>
      <c r="T347" s="52"/>
    </row>
    <row r="348">
      <c r="B348" s="50"/>
      <c r="C348" s="59"/>
      <c r="H348" s="52"/>
      <c r="T348" s="52"/>
    </row>
    <row r="349">
      <c r="B349" s="50"/>
      <c r="C349" s="59"/>
      <c r="H349" s="52"/>
      <c r="T349" s="52"/>
    </row>
    <row r="350">
      <c r="B350" s="50"/>
      <c r="C350" s="59"/>
      <c r="H350" s="52"/>
      <c r="T350" s="52"/>
    </row>
    <row r="351">
      <c r="B351" s="50"/>
      <c r="C351" s="59"/>
      <c r="H351" s="52"/>
      <c r="T351" s="52"/>
    </row>
    <row r="352">
      <c r="B352" s="50"/>
      <c r="C352" s="59"/>
      <c r="H352" s="52"/>
      <c r="T352" s="52"/>
    </row>
    <row r="353">
      <c r="B353" s="50"/>
      <c r="C353" s="59"/>
      <c r="H353" s="52"/>
      <c r="T353" s="52"/>
    </row>
    <row r="354">
      <c r="B354" s="50"/>
      <c r="C354" s="59"/>
      <c r="H354" s="52"/>
      <c r="T354" s="52"/>
    </row>
    <row r="355">
      <c r="B355" s="50"/>
      <c r="C355" s="59"/>
      <c r="H355" s="52"/>
      <c r="T355" s="52"/>
    </row>
    <row r="356">
      <c r="B356" s="50"/>
      <c r="C356" s="59"/>
      <c r="H356" s="52"/>
      <c r="T356" s="52"/>
    </row>
    <row r="357">
      <c r="B357" s="50"/>
      <c r="C357" s="59"/>
      <c r="H357" s="52"/>
      <c r="T357" s="52"/>
    </row>
    <row r="358">
      <c r="B358" s="50"/>
      <c r="C358" s="59"/>
      <c r="H358" s="52"/>
      <c r="T358" s="52"/>
    </row>
    <row r="359">
      <c r="B359" s="50"/>
      <c r="C359" s="59"/>
      <c r="H359" s="52"/>
      <c r="T359" s="52"/>
    </row>
    <row r="360">
      <c r="B360" s="50"/>
      <c r="C360" s="59"/>
      <c r="H360" s="52"/>
      <c r="T360" s="52"/>
    </row>
    <row r="361">
      <c r="B361" s="50"/>
      <c r="C361" s="59"/>
      <c r="H361" s="52"/>
      <c r="T361" s="52"/>
    </row>
    <row r="362">
      <c r="B362" s="50"/>
      <c r="C362" s="59"/>
      <c r="H362" s="52"/>
      <c r="T362" s="52"/>
    </row>
    <row r="363">
      <c r="B363" s="50"/>
      <c r="C363" s="59"/>
      <c r="H363" s="52"/>
      <c r="T363" s="52"/>
    </row>
    <row r="364">
      <c r="B364" s="50"/>
      <c r="C364" s="59"/>
      <c r="H364" s="52"/>
      <c r="T364" s="52"/>
    </row>
    <row r="365">
      <c r="B365" s="50"/>
      <c r="C365" s="59"/>
      <c r="H365" s="52"/>
      <c r="T365" s="52"/>
    </row>
    <row r="366">
      <c r="B366" s="50"/>
      <c r="C366" s="59"/>
      <c r="H366" s="52"/>
      <c r="T366" s="52"/>
    </row>
    <row r="367">
      <c r="B367" s="50"/>
      <c r="C367" s="59"/>
      <c r="H367" s="52"/>
      <c r="T367" s="52"/>
    </row>
    <row r="368">
      <c r="B368" s="50"/>
      <c r="C368" s="59"/>
      <c r="H368" s="52"/>
      <c r="T368" s="52"/>
    </row>
    <row r="369">
      <c r="B369" s="50"/>
      <c r="C369" s="59"/>
      <c r="H369" s="52"/>
      <c r="T369" s="52"/>
    </row>
    <row r="370">
      <c r="B370" s="50"/>
      <c r="C370" s="59"/>
      <c r="H370" s="52"/>
      <c r="T370" s="52"/>
    </row>
    <row r="371">
      <c r="B371" s="50"/>
      <c r="C371" s="59"/>
      <c r="H371" s="52"/>
      <c r="T371" s="52"/>
    </row>
    <row r="372">
      <c r="B372" s="50"/>
      <c r="C372" s="59"/>
      <c r="H372" s="52"/>
      <c r="T372" s="52"/>
    </row>
    <row r="373">
      <c r="B373" s="50"/>
      <c r="C373" s="59"/>
      <c r="H373" s="52"/>
      <c r="T373" s="52"/>
    </row>
    <row r="374">
      <c r="B374" s="50"/>
      <c r="C374" s="59"/>
      <c r="H374" s="52"/>
      <c r="T374" s="52"/>
    </row>
    <row r="375">
      <c r="B375" s="50"/>
      <c r="C375" s="59"/>
      <c r="H375" s="52"/>
      <c r="T375" s="52"/>
    </row>
    <row r="376">
      <c r="B376" s="50"/>
      <c r="C376" s="59"/>
      <c r="H376" s="52"/>
      <c r="T376" s="52"/>
    </row>
    <row r="377">
      <c r="B377" s="50"/>
      <c r="C377" s="59"/>
      <c r="H377" s="52"/>
      <c r="T377" s="52"/>
    </row>
    <row r="378">
      <c r="B378" s="50"/>
      <c r="C378" s="59"/>
      <c r="H378" s="52"/>
      <c r="T378" s="52"/>
    </row>
    <row r="379">
      <c r="B379" s="50"/>
      <c r="C379" s="59"/>
      <c r="H379" s="52"/>
      <c r="T379" s="52"/>
    </row>
    <row r="380">
      <c r="B380" s="50"/>
      <c r="C380" s="59"/>
      <c r="H380" s="52"/>
      <c r="T380" s="52"/>
    </row>
    <row r="381">
      <c r="B381" s="50"/>
      <c r="C381" s="59"/>
      <c r="H381" s="52"/>
      <c r="T381" s="52"/>
    </row>
    <row r="382">
      <c r="B382" s="50"/>
      <c r="C382" s="59"/>
      <c r="H382" s="52"/>
      <c r="T382" s="52"/>
    </row>
    <row r="383">
      <c r="B383" s="50"/>
      <c r="C383" s="59"/>
      <c r="H383" s="52"/>
      <c r="T383" s="52"/>
    </row>
    <row r="384">
      <c r="B384" s="50"/>
      <c r="C384" s="59"/>
      <c r="H384" s="52"/>
      <c r="T384" s="52"/>
    </row>
    <row r="385">
      <c r="B385" s="50"/>
      <c r="C385" s="59"/>
      <c r="H385" s="52"/>
      <c r="T385" s="52"/>
    </row>
    <row r="386">
      <c r="B386" s="50"/>
      <c r="C386" s="59"/>
      <c r="H386" s="52"/>
      <c r="T386" s="52"/>
    </row>
    <row r="387">
      <c r="B387" s="50"/>
      <c r="C387" s="59"/>
      <c r="H387" s="52"/>
      <c r="T387" s="52"/>
    </row>
    <row r="388">
      <c r="B388" s="50"/>
      <c r="C388" s="59"/>
      <c r="H388" s="52"/>
      <c r="T388" s="52"/>
    </row>
    <row r="389">
      <c r="B389" s="50"/>
      <c r="C389" s="59"/>
      <c r="H389" s="52"/>
      <c r="T389" s="52"/>
    </row>
    <row r="390">
      <c r="B390" s="50"/>
      <c r="C390" s="59"/>
      <c r="H390" s="52"/>
      <c r="T390" s="52"/>
    </row>
    <row r="391">
      <c r="B391" s="50"/>
      <c r="C391" s="59"/>
      <c r="H391" s="52"/>
      <c r="T391" s="52"/>
    </row>
    <row r="392">
      <c r="B392" s="50"/>
      <c r="C392" s="59"/>
      <c r="H392" s="52"/>
      <c r="T392" s="52"/>
    </row>
    <row r="393">
      <c r="B393" s="50"/>
      <c r="C393" s="59"/>
      <c r="H393" s="52"/>
      <c r="T393" s="52"/>
    </row>
    <row r="394">
      <c r="B394" s="50"/>
      <c r="C394" s="59"/>
      <c r="H394" s="52"/>
      <c r="T394" s="52"/>
    </row>
    <row r="395">
      <c r="B395" s="50"/>
      <c r="C395" s="59"/>
      <c r="H395" s="52"/>
      <c r="T395" s="52"/>
    </row>
    <row r="396">
      <c r="B396" s="50"/>
      <c r="C396" s="59"/>
      <c r="H396" s="52"/>
      <c r="T396" s="52"/>
    </row>
    <row r="397">
      <c r="B397" s="50"/>
      <c r="C397" s="59"/>
      <c r="H397" s="52"/>
      <c r="T397" s="52"/>
    </row>
    <row r="398">
      <c r="B398" s="50"/>
      <c r="C398" s="59"/>
      <c r="H398" s="52"/>
      <c r="T398" s="52"/>
    </row>
    <row r="399">
      <c r="B399" s="50"/>
      <c r="C399" s="59"/>
      <c r="H399" s="52"/>
      <c r="T399" s="52"/>
    </row>
    <row r="400">
      <c r="B400" s="50"/>
      <c r="C400" s="59"/>
      <c r="H400" s="52"/>
      <c r="T400" s="52"/>
    </row>
    <row r="401">
      <c r="B401" s="50"/>
      <c r="C401" s="59"/>
      <c r="H401" s="52"/>
      <c r="T401" s="52"/>
    </row>
    <row r="402">
      <c r="B402" s="50"/>
      <c r="C402" s="59"/>
      <c r="H402" s="52"/>
      <c r="T402" s="52"/>
    </row>
    <row r="403">
      <c r="B403" s="50"/>
      <c r="C403" s="59"/>
      <c r="H403" s="52"/>
      <c r="T403" s="52"/>
    </row>
    <row r="404">
      <c r="B404" s="50"/>
      <c r="C404" s="59"/>
      <c r="H404" s="52"/>
      <c r="T404" s="52"/>
    </row>
    <row r="405">
      <c r="B405" s="50"/>
      <c r="C405" s="59"/>
      <c r="H405" s="52"/>
      <c r="T405" s="52"/>
    </row>
    <row r="406">
      <c r="B406" s="50"/>
      <c r="C406" s="59"/>
      <c r="H406" s="52"/>
      <c r="T406" s="52"/>
    </row>
    <row r="407">
      <c r="B407" s="50"/>
      <c r="C407" s="59"/>
      <c r="H407" s="52"/>
      <c r="T407" s="52"/>
    </row>
    <row r="408">
      <c r="B408" s="50"/>
      <c r="C408" s="59"/>
      <c r="H408" s="52"/>
      <c r="T408" s="52"/>
    </row>
    <row r="409">
      <c r="B409" s="50"/>
      <c r="C409" s="59"/>
      <c r="H409" s="52"/>
      <c r="T409" s="52"/>
    </row>
    <row r="410">
      <c r="B410" s="50"/>
      <c r="C410" s="59"/>
      <c r="H410" s="52"/>
      <c r="T410" s="52"/>
    </row>
    <row r="411">
      <c r="B411" s="50"/>
      <c r="C411" s="59"/>
      <c r="H411" s="52"/>
      <c r="T411" s="52"/>
    </row>
    <row r="412">
      <c r="B412" s="50"/>
      <c r="C412" s="59"/>
      <c r="H412" s="52"/>
      <c r="T412" s="52"/>
    </row>
    <row r="413">
      <c r="B413" s="50"/>
      <c r="C413" s="59"/>
      <c r="H413" s="52"/>
      <c r="T413" s="52"/>
    </row>
    <row r="414">
      <c r="B414" s="50"/>
      <c r="C414" s="59"/>
      <c r="H414" s="52"/>
      <c r="T414" s="52"/>
    </row>
    <row r="415">
      <c r="B415" s="50"/>
      <c r="C415" s="59"/>
      <c r="H415" s="52"/>
      <c r="T415" s="52"/>
    </row>
    <row r="416">
      <c r="B416" s="50"/>
      <c r="C416" s="59"/>
      <c r="H416" s="52"/>
      <c r="T416" s="52"/>
    </row>
    <row r="417">
      <c r="B417" s="50"/>
      <c r="C417" s="59"/>
      <c r="H417" s="52"/>
      <c r="T417" s="52"/>
    </row>
    <row r="418">
      <c r="B418" s="50"/>
      <c r="C418" s="59"/>
      <c r="H418" s="52"/>
      <c r="T418" s="52"/>
    </row>
    <row r="419">
      <c r="B419" s="50"/>
      <c r="C419" s="59"/>
      <c r="H419" s="52"/>
      <c r="T419" s="52"/>
    </row>
    <row r="420">
      <c r="B420" s="50"/>
      <c r="C420" s="59"/>
      <c r="H420" s="52"/>
      <c r="T420" s="52"/>
    </row>
    <row r="421">
      <c r="B421" s="50"/>
      <c r="C421" s="59"/>
      <c r="H421" s="52"/>
      <c r="T421" s="52"/>
    </row>
    <row r="422">
      <c r="B422" s="50"/>
      <c r="C422" s="59"/>
      <c r="H422" s="52"/>
      <c r="T422" s="52"/>
    </row>
    <row r="423">
      <c r="B423" s="50"/>
      <c r="C423" s="59"/>
      <c r="H423" s="52"/>
      <c r="T423" s="52"/>
    </row>
    <row r="424">
      <c r="B424" s="50"/>
      <c r="C424" s="59"/>
      <c r="H424" s="52"/>
      <c r="T424" s="52"/>
    </row>
    <row r="425">
      <c r="B425" s="50"/>
      <c r="C425" s="59"/>
      <c r="H425" s="52"/>
      <c r="T425" s="52"/>
    </row>
    <row r="426">
      <c r="B426" s="50"/>
      <c r="C426" s="59"/>
      <c r="H426" s="52"/>
      <c r="T426" s="52"/>
    </row>
    <row r="427">
      <c r="B427" s="50"/>
      <c r="C427" s="59"/>
      <c r="H427" s="52"/>
      <c r="T427" s="52"/>
    </row>
    <row r="428">
      <c r="B428" s="50"/>
      <c r="C428" s="59"/>
      <c r="H428" s="52"/>
      <c r="T428" s="52"/>
    </row>
    <row r="429">
      <c r="B429" s="50"/>
      <c r="C429" s="59"/>
      <c r="H429" s="52"/>
      <c r="T429" s="52"/>
    </row>
    <row r="430">
      <c r="B430" s="50"/>
      <c r="C430" s="59"/>
      <c r="H430" s="52"/>
      <c r="T430" s="52"/>
    </row>
    <row r="431">
      <c r="B431" s="50"/>
      <c r="C431" s="59"/>
      <c r="H431" s="52"/>
      <c r="T431" s="52"/>
    </row>
    <row r="432">
      <c r="B432" s="50"/>
      <c r="C432" s="59"/>
      <c r="H432" s="52"/>
      <c r="T432" s="52"/>
    </row>
    <row r="433">
      <c r="B433" s="50"/>
      <c r="C433" s="59"/>
      <c r="H433" s="52"/>
      <c r="T433" s="52"/>
    </row>
    <row r="434">
      <c r="B434" s="50"/>
      <c r="C434" s="59"/>
      <c r="H434" s="52"/>
      <c r="T434" s="52"/>
    </row>
    <row r="435">
      <c r="B435" s="50"/>
      <c r="C435" s="59"/>
      <c r="H435" s="52"/>
      <c r="T435" s="52"/>
    </row>
    <row r="436">
      <c r="B436" s="50"/>
      <c r="C436" s="59"/>
      <c r="H436" s="52"/>
      <c r="T436" s="52"/>
    </row>
    <row r="437">
      <c r="B437" s="50"/>
      <c r="C437" s="59"/>
      <c r="H437" s="52"/>
      <c r="T437" s="52"/>
    </row>
    <row r="438">
      <c r="B438" s="50"/>
      <c r="C438" s="59"/>
      <c r="H438" s="52"/>
      <c r="T438" s="52"/>
    </row>
    <row r="439">
      <c r="B439" s="50"/>
      <c r="C439" s="59"/>
      <c r="H439" s="52"/>
      <c r="T439" s="52"/>
    </row>
    <row r="440">
      <c r="B440" s="50"/>
      <c r="C440" s="59"/>
      <c r="H440" s="52"/>
      <c r="T440" s="52"/>
    </row>
    <row r="441">
      <c r="B441" s="50"/>
      <c r="C441" s="59"/>
      <c r="H441" s="52"/>
      <c r="T441" s="52"/>
    </row>
    <row r="442">
      <c r="B442" s="50"/>
      <c r="C442" s="59"/>
      <c r="H442" s="52"/>
      <c r="T442" s="52"/>
    </row>
    <row r="443">
      <c r="B443" s="50"/>
      <c r="C443" s="59"/>
      <c r="H443" s="52"/>
      <c r="T443" s="52"/>
    </row>
    <row r="444">
      <c r="B444" s="50"/>
      <c r="C444" s="59"/>
      <c r="H444" s="52"/>
      <c r="T444" s="52"/>
    </row>
    <row r="445">
      <c r="B445" s="50"/>
      <c r="C445" s="59"/>
      <c r="H445" s="52"/>
      <c r="T445" s="52"/>
    </row>
    <row r="446">
      <c r="B446" s="50"/>
      <c r="C446" s="59"/>
      <c r="H446" s="52"/>
      <c r="T446" s="52"/>
    </row>
    <row r="447">
      <c r="B447" s="50"/>
      <c r="C447" s="59"/>
      <c r="H447" s="52"/>
      <c r="T447" s="52"/>
    </row>
    <row r="448">
      <c r="B448" s="50"/>
      <c r="C448" s="59"/>
      <c r="H448" s="52"/>
      <c r="T448" s="52"/>
    </row>
    <row r="449">
      <c r="B449" s="50"/>
      <c r="C449" s="59"/>
      <c r="H449" s="52"/>
      <c r="T449" s="52"/>
    </row>
    <row r="450">
      <c r="B450" s="50"/>
      <c r="C450" s="59"/>
      <c r="H450" s="52"/>
      <c r="T450" s="52"/>
    </row>
    <row r="451">
      <c r="B451" s="50"/>
      <c r="C451" s="59"/>
      <c r="H451" s="52"/>
      <c r="T451" s="52"/>
    </row>
    <row r="452">
      <c r="B452" s="50"/>
      <c r="C452" s="59"/>
      <c r="H452" s="52"/>
      <c r="T452" s="52"/>
    </row>
    <row r="453">
      <c r="B453" s="50"/>
      <c r="C453" s="59"/>
      <c r="H453" s="52"/>
      <c r="T453" s="52"/>
    </row>
    <row r="454">
      <c r="B454" s="50"/>
      <c r="C454" s="59"/>
      <c r="H454" s="52"/>
      <c r="T454" s="52"/>
    </row>
    <row r="455">
      <c r="B455" s="50"/>
      <c r="C455" s="59"/>
      <c r="H455" s="52"/>
      <c r="T455" s="52"/>
    </row>
    <row r="456">
      <c r="B456" s="50"/>
      <c r="C456" s="59"/>
      <c r="H456" s="52"/>
      <c r="T456" s="52"/>
    </row>
    <row r="457">
      <c r="B457" s="50"/>
      <c r="C457" s="59"/>
      <c r="H457" s="52"/>
      <c r="T457" s="52"/>
    </row>
    <row r="458">
      <c r="B458" s="50"/>
      <c r="C458" s="59"/>
      <c r="H458" s="52"/>
      <c r="T458" s="52"/>
    </row>
    <row r="459">
      <c r="B459" s="50"/>
      <c r="C459" s="59"/>
      <c r="H459" s="52"/>
      <c r="T459" s="52"/>
    </row>
    <row r="460">
      <c r="B460" s="50"/>
      <c r="C460" s="59"/>
      <c r="H460" s="52"/>
      <c r="T460" s="52"/>
    </row>
    <row r="461">
      <c r="B461" s="50"/>
      <c r="C461" s="59"/>
      <c r="H461" s="52"/>
      <c r="T461" s="52"/>
    </row>
    <row r="462">
      <c r="B462" s="50"/>
      <c r="C462" s="59"/>
      <c r="H462" s="52"/>
      <c r="T462" s="52"/>
    </row>
    <row r="463">
      <c r="B463" s="50"/>
      <c r="C463" s="59"/>
      <c r="H463" s="52"/>
      <c r="T463" s="52"/>
    </row>
    <row r="464">
      <c r="B464" s="50"/>
      <c r="C464" s="59"/>
      <c r="H464" s="52"/>
      <c r="T464" s="52"/>
    </row>
    <row r="465">
      <c r="B465" s="50"/>
      <c r="C465" s="59"/>
      <c r="H465" s="52"/>
      <c r="T465" s="52"/>
    </row>
    <row r="466">
      <c r="B466" s="50"/>
      <c r="C466" s="59"/>
      <c r="H466" s="52"/>
      <c r="T466" s="52"/>
    </row>
    <row r="467">
      <c r="B467" s="50"/>
      <c r="C467" s="59"/>
      <c r="H467" s="52"/>
      <c r="T467" s="52"/>
    </row>
    <row r="468">
      <c r="B468" s="50"/>
      <c r="C468" s="59"/>
      <c r="H468" s="52"/>
      <c r="T468" s="52"/>
    </row>
    <row r="469">
      <c r="B469" s="50"/>
      <c r="C469" s="59"/>
      <c r="H469" s="52"/>
      <c r="T469" s="52"/>
    </row>
    <row r="470">
      <c r="B470" s="50"/>
      <c r="C470" s="59"/>
      <c r="H470" s="52"/>
      <c r="T470" s="52"/>
    </row>
    <row r="471">
      <c r="B471" s="50"/>
      <c r="C471" s="59"/>
      <c r="H471" s="52"/>
      <c r="T471" s="52"/>
    </row>
    <row r="472">
      <c r="B472" s="50"/>
      <c r="C472" s="59"/>
      <c r="H472" s="52"/>
      <c r="T472" s="52"/>
    </row>
    <row r="473">
      <c r="B473" s="50"/>
      <c r="C473" s="59"/>
      <c r="H473" s="52"/>
      <c r="T473" s="52"/>
    </row>
    <row r="474">
      <c r="B474" s="50"/>
      <c r="C474" s="59"/>
      <c r="H474" s="52"/>
      <c r="T474" s="52"/>
    </row>
    <row r="475">
      <c r="B475" s="50"/>
      <c r="C475" s="59"/>
      <c r="H475" s="52"/>
      <c r="T475" s="52"/>
    </row>
    <row r="476">
      <c r="B476" s="50"/>
      <c r="C476" s="59"/>
      <c r="H476" s="52"/>
      <c r="T476" s="52"/>
    </row>
    <row r="477">
      <c r="B477" s="50"/>
      <c r="C477" s="59"/>
      <c r="H477" s="52"/>
      <c r="T477" s="52"/>
    </row>
    <row r="478">
      <c r="B478" s="50"/>
      <c r="C478" s="59"/>
      <c r="H478" s="52"/>
      <c r="T478" s="52"/>
    </row>
    <row r="479">
      <c r="B479" s="50"/>
      <c r="C479" s="59"/>
      <c r="H479" s="52"/>
      <c r="T479" s="52"/>
    </row>
    <row r="480">
      <c r="B480" s="50"/>
      <c r="C480" s="59"/>
      <c r="H480" s="52"/>
      <c r="T480" s="52"/>
    </row>
    <row r="481">
      <c r="B481" s="50"/>
      <c r="C481" s="59"/>
      <c r="H481" s="52"/>
      <c r="T481" s="52"/>
    </row>
    <row r="482">
      <c r="B482" s="50"/>
      <c r="C482" s="59"/>
      <c r="H482" s="52"/>
      <c r="T482" s="52"/>
    </row>
    <row r="483">
      <c r="B483" s="50"/>
      <c r="C483" s="59"/>
      <c r="H483" s="52"/>
      <c r="T483" s="52"/>
    </row>
    <row r="484">
      <c r="B484" s="50"/>
      <c r="C484" s="59"/>
      <c r="H484" s="52"/>
      <c r="T484" s="52"/>
    </row>
    <row r="485">
      <c r="B485" s="50"/>
      <c r="C485" s="59"/>
      <c r="H485" s="52"/>
      <c r="T485" s="52"/>
    </row>
    <row r="486">
      <c r="B486" s="50"/>
      <c r="C486" s="59"/>
      <c r="H486" s="52"/>
      <c r="T486" s="52"/>
    </row>
    <row r="487">
      <c r="B487" s="50"/>
      <c r="C487" s="59"/>
      <c r="H487" s="52"/>
      <c r="T487" s="52"/>
    </row>
    <row r="488">
      <c r="B488" s="50"/>
      <c r="C488" s="59"/>
      <c r="H488" s="52"/>
      <c r="T488" s="52"/>
    </row>
    <row r="489">
      <c r="B489" s="50"/>
      <c r="C489" s="59"/>
      <c r="H489" s="52"/>
      <c r="T489" s="52"/>
    </row>
    <row r="490">
      <c r="B490" s="50"/>
      <c r="C490" s="59"/>
      <c r="H490" s="52"/>
      <c r="T490" s="52"/>
    </row>
    <row r="491">
      <c r="B491" s="50"/>
      <c r="C491" s="59"/>
      <c r="H491" s="52"/>
      <c r="T491" s="52"/>
    </row>
    <row r="492">
      <c r="B492" s="50"/>
      <c r="C492" s="59"/>
      <c r="H492" s="52"/>
      <c r="T492" s="52"/>
    </row>
    <row r="493">
      <c r="B493" s="50"/>
      <c r="C493" s="59"/>
      <c r="H493" s="52"/>
      <c r="T493" s="52"/>
    </row>
    <row r="494">
      <c r="B494" s="50"/>
      <c r="C494" s="59"/>
      <c r="H494" s="52"/>
      <c r="T494" s="52"/>
    </row>
    <row r="495">
      <c r="B495" s="50"/>
      <c r="C495" s="59"/>
      <c r="H495" s="52"/>
      <c r="T495" s="52"/>
    </row>
    <row r="496">
      <c r="B496" s="50"/>
      <c r="C496" s="59"/>
      <c r="H496" s="52"/>
      <c r="T496" s="52"/>
    </row>
    <row r="497">
      <c r="B497" s="50"/>
      <c r="C497" s="59"/>
      <c r="H497" s="52"/>
      <c r="T497" s="52"/>
    </row>
    <row r="498">
      <c r="B498" s="50"/>
      <c r="C498" s="59"/>
      <c r="H498" s="52"/>
      <c r="T498" s="52"/>
    </row>
    <row r="499">
      <c r="B499" s="50"/>
      <c r="C499" s="59"/>
      <c r="H499" s="52"/>
      <c r="T499" s="52"/>
    </row>
    <row r="500">
      <c r="B500" s="50"/>
      <c r="C500" s="59"/>
      <c r="H500" s="52"/>
      <c r="T500" s="52"/>
    </row>
    <row r="501">
      <c r="B501" s="50"/>
      <c r="C501" s="59"/>
      <c r="H501" s="52"/>
      <c r="T501" s="52"/>
    </row>
    <row r="502">
      <c r="B502" s="50"/>
      <c r="C502" s="59"/>
      <c r="H502" s="52"/>
      <c r="T502" s="52"/>
    </row>
    <row r="503">
      <c r="B503" s="50"/>
      <c r="C503" s="59"/>
      <c r="H503" s="52"/>
      <c r="T503" s="52"/>
    </row>
    <row r="504">
      <c r="B504" s="50"/>
      <c r="C504" s="59"/>
      <c r="H504" s="52"/>
      <c r="T504" s="52"/>
    </row>
    <row r="505">
      <c r="B505" s="50"/>
      <c r="C505" s="59"/>
      <c r="H505" s="52"/>
      <c r="T505" s="52"/>
    </row>
    <row r="506">
      <c r="B506" s="50"/>
      <c r="C506" s="59"/>
      <c r="H506" s="52"/>
      <c r="T506" s="52"/>
    </row>
    <row r="507">
      <c r="B507" s="50"/>
      <c r="C507" s="59"/>
      <c r="H507" s="52"/>
      <c r="T507" s="52"/>
    </row>
    <row r="508">
      <c r="B508" s="50"/>
      <c r="C508" s="59"/>
      <c r="H508" s="52"/>
      <c r="T508" s="52"/>
    </row>
    <row r="509">
      <c r="B509" s="50"/>
      <c r="C509" s="59"/>
      <c r="H509" s="52"/>
      <c r="T509" s="52"/>
    </row>
    <row r="510">
      <c r="B510" s="50"/>
      <c r="C510" s="59"/>
      <c r="H510" s="52"/>
      <c r="T510" s="52"/>
    </row>
    <row r="511">
      <c r="B511" s="50"/>
      <c r="C511" s="59"/>
      <c r="H511" s="52"/>
      <c r="T511" s="52"/>
    </row>
    <row r="512">
      <c r="B512" s="50"/>
      <c r="C512" s="59"/>
      <c r="H512" s="52"/>
      <c r="T512" s="52"/>
    </row>
    <row r="513">
      <c r="B513" s="50"/>
      <c r="C513" s="59"/>
      <c r="H513" s="52"/>
      <c r="T513" s="52"/>
    </row>
    <row r="514">
      <c r="B514" s="50"/>
      <c r="C514" s="59"/>
      <c r="H514" s="52"/>
      <c r="T514" s="52"/>
    </row>
    <row r="515">
      <c r="B515" s="50"/>
      <c r="C515" s="59"/>
      <c r="H515" s="52"/>
      <c r="T515" s="52"/>
    </row>
    <row r="516">
      <c r="B516" s="50"/>
      <c r="C516" s="59"/>
      <c r="H516" s="52"/>
      <c r="T516" s="52"/>
    </row>
    <row r="517">
      <c r="B517" s="50"/>
      <c r="C517" s="59"/>
      <c r="H517" s="52"/>
      <c r="T517" s="52"/>
    </row>
    <row r="518">
      <c r="B518" s="50"/>
      <c r="C518" s="59"/>
      <c r="H518" s="52"/>
      <c r="T518" s="52"/>
    </row>
    <row r="519">
      <c r="B519" s="50"/>
      <c r="C519" s="59"/>
      <c r="H519" s="52"/>
      <c r="T519" s="52"/>
    </row>
    <row r="520">
      <c r="B520" s="50"/>
      <c r="C520" s="59"/>
      <c r="H520" s="52"/>
      <c r="T520" s="52"/>
    </row>
    <row r="521">
      <c r="B521" s="50"/>
      <c r="C521" s="59"/>
      <c r="H521" s="52"/>
      <c r="T521" s="52"/>
    </row>
    <row r="522">
      <c r="B522" s="50"/>
      <c r="C522" s="59"/>
      <c r="H522" s="52"/>
      <c r="T522" s="52"/>
    </row>
    <row r="523">
      <c r="B523" s="50"/>
      <c r="C523" s="59"/>
      <c r="H523" s="52"/>
      <c r="T523" s="52"/>
    </row>
    <row r="524">
      <c r="B524" s="50"/>
      <c r="C524" s="59"/>
      <c r="H524" s="52"/>
      <c r="T524" s="52"/>
    </row>
    <row r="525">
      <c r="B525" s="50"/>
      <c r="C525" s="59"/>
      <c r="H525" s="52"/>
      <c r="T525" s="52"/>
    </row>
    <row r="526">
      <c r="B526" s="50"/>
      <c r="C526" s="59"/>
      <c r="H526" s="52"/>
      <c r="T526" s="52"/>
    </row>
    <row r="527">
      <c r="B527" s="50"/>
      <c r="C527" s="59"/>
      <c r="H527" s="52"/>
      <c r="T527" s="52"/>
    </row>
    <row r="528">
      <c r="B528" s="50"/>
      <c r="C528" s="59"/>
      <c r="H528" s="52"/>
      <c r="T528" s="52"/>
    </row>
    <row r="529">
      <c r="B529" s="50"/>
      <c r="C529" s="59"/>
      <c r="H529" s="52"/>
      <c r="T529" s="52"/>
    </row>
    <row r="530">
      <c r="B530" s="50"/>
      <c r="C530" s="59"/>
      <c r="H530" s="52"/>
      <c r="T530" s="52"/>
    </row>
    <row r="531">
      <c r="B531" s="50"/>
      <c r="C531" s="59"/>
      <c r="H531" s="52"/>
      <c r="T531" s="52"/>
    </row>
    <row r="532">
      <c r="B532" s="50"/>
      <c r="C532" s="59"/>
      <c r="H532" s="52"/>
      <c r="T532" s="52"/>
    </row>
    <row r="533">
      <c r="B533" s="50"/>
      <c r="C533" s="59"/>
      <c r="H533" s="52"/>
      <c r="T533" s="52"/>
    </row>
    <row r="534">
      <c r="B534" s="50"/>
      <c r="C534" s="59"/>
      <c r="H534" s="52"/>
      <c r="T534" s="52"/>
    </row>
    <row r="535">
      <c r="B535" s="50"/>
      <c r="C535" s="59"/>
      <c r="H535" s="52"/>
      <c r="T535" s="52"/>
    </row>
    <row r="536">
      <c r="B536" s="50"/>
      <c r="C536" s="59"/>
      <c r="H536" s="52"/>
      <c r="T536" s="52"/>
    </row>
    <row r="537">
      <c r="B537" s="50"/>
      <c r="C537" s="59"/>
      <c r="H537" s="52"/>
      <c r="T537" s="52"/>
    </row>
    <row r="538">
      <c r="B538" s="50"/>
      <c r="C538" s="59"/>
      <c r="H538" s="52"/>
      <c r="T538" s="52"/>
    </row>
    <row r="539">
      <c r="B539" s="50"/>
      <c r="C539" s="59"/>
      <c r="H539" s="52"/>
      <c r="T539" s="52"/>
    </row>
    <row r="540">
      <c r="B540" s="50"/>
      <c r="C540" s="59"/>
      <c r="H540" s="52"/>
      <c r="T540" s="52"/>
    </row>
    <row r="541">
      <c r="B541" s="50"/>
      <c r="C541" s="59"/>
      <c r="H541" s="52"/>
      <c r="T541" s="52"/>
    </row>
    <row r="542">
      <c r="B542" s="50"/>
      <c r="C542" s="59"/>
      <c r="H542" s="52"/>
      <c r="T542" s="52"/>
    </row>
    <row r="543">
      <c r="B543" s="50"/>
      <c r="C543" s="59"/>
      <c r="H543" s="52"/>
      <c r="T543" s="52"/>
    </row>
    <row r="544">
      <c r="B544" s="50"/>
      <c r="C544" s="59"/>
      <c r="H544" s="52"/>
      <c r="T544" s="52"/>
    </row>
    <row r="545">
      <c r="B545" s="50"/>
      <c r="C545" s="59"/>
      <c r="H545" s="52"/>
      <c r="T545" s="52"/>
    </row>
    <row r="546">
      <c r="B546" s="50"/>
      <c r="C546" s="59"/>
      <c r="H546" s="52"/>
      <c r="T546" s="52"/>
    </row>
    <row r="547">
      <c r="B547" s="50"/>
      <c r="C547" s="59"/>
      <c r="H547" s="52"/>
      <c r="T547" s="52"/>
    </row>
    <row r="548">
      <c r="B548" s="50"/>
      <c r="C548" s="59"/>
      <c r="H548" s="52"/>
      <c r="T548" s="52"/>
    </row>
    <row r="549">
      <c r="B549" s="50"/>
      <c r="C549" s="59"/>
      <c r="H549" s="52"/>
      <c r="T549" s="52"/>
    </row>
    <row r="550">
      <c r="B550" s="50"/>
      <c r="C550" s="59"/>
      <c r="H550" s="52"/>
      <c r="T550" s="52"/>
    </row>
    <row r="551">
      <c r="B551" s="50"/>
      <c r="C551" s="59"/>
      <c r="H551" s="52"/>
      <c r="T551" s="52"/>
    </row>
    <row r="552">
      <c r="B552" s="50"/>
      <c r="C552" s="59"/>
      <c r="H552" s="52"/>
      <c r="T552" s="52"/>
    </row>
    <row r="553">
      <c r="B553" s="50"/>
      <c r="C553" s="59"/>
      <c r="H553" s="52"/>
      <c r="T553" s="52"/>
    </row>
    <row r="554">
      <c r="B554" s="50"/>
      <c r="C554" s="59"/>
      <c r="H554" s="52"/>
      <c r="T554" s="52"/>
    </row>
    <row r="555">
      <c r="B555" s="50"/>
      <c r="C555" s="59"/>
      <c r="H555" s="52"/>
      <c r="T555" s="52"/>
    </row>
    <row r="556">
      <c r="B556" s="50"/>
      <c r="C556" s="59"/>
      <c r="H556" s="52"/>
      <c r="T556" s="52"/>
    </row>
    <row r="557">
      <c r="B557" s="50"/>
      <c r="C557" s="59"/>
      <c r="H557" s="52"/>
      <c r="T557" s="52"/>
    </row>
    <row r="558">
      <c r="B558" s="50"/>
      <c r="C558" s="59"/>
      <c r="H558" s="52"/>
      <c r="T558" s="52"/>
    </row>
    <row r="559">
      <c r="B559" s="50"/>
      <c r="C559" s="59"/>
      <c r="H559" s="52"/>
      <c r="T559" s="52"/>
    </row>
    <row r="560">
      <c r="B560" s="50"/>
      <c r="C560" s="59"/>
      <c r="H560" s="52"/>
      <c r="T560" s="52"/>
    </row>
    <row r="561">
      <c r="B561" s="50"/>
      <c r="C561" s="59"/>
      <c r="H561" s="52"/>
      <c r="T561" s="52"/>
    </row>
    <row r="562">
      <c r="B562" s="50"/>
      <c r="C562" s="59"/>
      <c r="H562" s="52"/>
      <c r="T562" s="52"/>
    </row>
    <row r="563">
      <c r="B563" s="50"/>
      <c r="C563" s="59"/>
      <c r="H563" s="52"/>
      <c r="T563" s="52"/>
    </row>
    <row r="564">
      <c r="B564" s="50"/>
      <c r="C564" s="59"/>
      <c r="H564" s="52"/>
      <c r="T564" s="52"/>
    </row>
    <row r="565">
      <c r="B565" s="50"/>
      <c r="C565" s="59"/>
      <c r="H565" s="52"/>
      <c r="T565" s="52"/>
    </row>
    <row r="566">
      <c r="B566" s="50"/>
      <c r="C566" s="59"/>
      <c r="H566" s="52"/>
      <c r="T566" s="52"/>
    </row>
    <row r="567">
      <c r="B567" s="50"/>
      <c r="C567" s="59"/>
      <c r="H567" s="52"/>
      <c r="T567" s="52"/>
    </row>
    <row r="568">
      <c r="B568" s="50"/>
      <c r="C568" s="59"/>
      <c r="H568" s="52"/>
      <c r="T568" s="52"/>
    </row>
    <row r="569">
      <c r="B569" s="50"/>
      <c r="C569" s="59"/>
      <c r="H569" s="52"/>
      <c r="T569" s="52"/>
    </row>
    <row r="570">
      <c r="B570" s="50"/>
      <c r="C570" s="59"/>
      <c r="H570" s="52"/>
      <c r="T570" s="52"/>
    </row>
    <row r="571">
      <c r="B571" s="50"/>
      <c r="C571" s="59"/>
      <c r="H571" s="52"/>
      <c r="T571" s="52"/>
    </row>
    <row r="572">
      <c r="B572" s="50"/>
      <c r="C572" s="59"/>
      <c r="H572" s="52"/>
      <c r="T572" s="52"/>
    </row>
    <row r="573">
      <c r="B573" s="50"/>
      <c r="C573" s="59"/>
      <c r="H573" s="52"/>
      <c r="T573" s="52"/>
    </row>
    <row r="574">
      <c r="B574" s="50"/>
      <c r="C574" s="59"/>
      <c r="H574" s="52"/>
      <c r="T574" s="52"/>
    </row>
    <row r="575">
      <c r="B575" s="50"/>
      <c r="C575" s="59"/>
      <c r="H575" s="52"/>
      <c r="T575" s="52"/>
    </row>
    <row r="576">
      <c r="B576" s="50"/>
      <c r="C576" s="59"/>
      <c r="H576" s="52"/>
      <c r="T576" s="52"/>
    </row>
    <row r="577">
      <c r="B577" s="50"/>
      <c r="C577" s="59"/>
      <c r="H577" s="52"/>
      <c r="T577" s="52"/>
    </row>
    <row r="578">
      <c r="B578" s="50"/>
      <c r="C578" s="59"/>
      <c r="H578" s="52"/>
      <c r="T578" s="52"/>
    </row>
    <row r="579">
      <c r="B579" s="50"/>
      <c r="C579" s="59"/>
      <c r="H579" s="52"/>
      <c r="T579" s="52"/>
    </row>
    <row r="580">
      <c r="B580" s="50"/>
      <c r="C580" s="59"/>
      <c r="H580" s="52"/>
      <c r="T580" s="52"/>
    </row>
    <row r="581">
      <c r="B581" s="50"/>
      <c r="C581" s="59"/>
      <c r="H581" s="52"/>
      <c r="T581" s="52"/>
    </row>
    <row r="582">
      <c r="B582" s="50"/>
      <c r="C582" s="59"/>
      <c r="H582" s="52"/>
      <c r="T582" s="52"/>
    </row>
    <row r="583">
      <c r="B583" s="50"/>
      <c r="C583" s="59"/>
      <c r="H583" s="52"/>
      <c r="T583" s="52"/>
    </row>
    <row r="584">
      <c r="B584" s="50"/>
      <c r="C584" s="59"/>
      <c r="H584" s="52"/>
      <c r="T584" s="52"/>
    </row>
    <row r="585">
      <c r="B585" s="50"/>
      <c r="C585" s="59"/>
      <c r="H585" s="52"/>
      <c r="T585" s="52"/>
    </row>
    <row r="586">
      <c r="B586" s="50"/>
      <c r="C586" s="59"/>
      <c r="H586" s="52"/>
      <c r="T586" s="52"/>
    </row>
    <row r="587">
      <c r="B587" s="50"/>
      <c r="C587" s="59"/>
      <c r="H587" s="52"/>
      <c r="T587" s="52"/>
    </row>
    <row r="588">
      <c r="B588" s="50"/>
      <c r="C588" s="59"/>
      <c r="H588" s="52"/>
      <c r="T588" s="52"/>
    </row>
    <row r="589">
      <c r="B589" s="50"/>
      <c r="C589" s="59"/>
      <c r="H589" s="52"/>
      <c r="T589" s="52"/>
    </row>
    <row r="590">
      <c r="B590" s="50"/>
      <c r="C590" s="59"/>
      <c r="H590" s="52"/>
      <c r="T590" s="52"/>
    </row>
    <row r="591">
      <c r="B591" s="50"/>
      <c r="C591" s="59"/>
      <c r="H591" s="52"/>
      <c r="T591" s="52"/>
    </row>
    <row r="592">
      <c r="B592" s="50"/>
      <c r="C592" s="59"/>
      <c r="H592" s="52"/>
      <c r="T592" s="52"/>
    </row>
    <row r="593">
      <c r="B593" s="50"/>
      <c r="C593" s="59"/>
      <c r="H593" s="52"/>
      <c r="T593" s="52"/>
    </row>
    <row r="594">
      <c r="B594" s="50"/>
      <c r="C594" s="59"/>
      <c r="H594" s="52"/>
      <c r="T594" s="52"/>
    </row>
    <row r="595">
      <c r="B595" s="50"/>
      <c r="C595" s="59"/>
      <c r="H595" s="52"/>
      <c r="T595" s="52"/>
    </row>
    <row r="596">
      <c r="B596" s="50"/>
      <c r="C596" s="59"/>
      <c r="H596" s="52"/>
      <c r="T596" s="52"/>
    </row>
    <row r="597">
      <c r="B597" s="50"/>
      <c r="C597" s="59"/>
      <c r="H597" s="52"/>
      <c r="T597" s="52"/>
    </row>
    <row r="598">
      <c r="B598" s="50"/>
      <c r="C598" s="59"/>
      <c r="H598" s="52"/>
      <c r="T598" s="52"/>
    </row>
    <row r="599">
      <c r="B599" s="50"/>
      <c r="C599" s="59"/>
      <c r="H599" s="52"/>
      <c r="T599" s="52"/>
    </row>
    <row r="600">
      <c r="B600" s="50"/>
      <c r="C600" s="59"/>
      <c r="H600" s="52"/>
      <c r="T600" s="52"/>
    </row>
    <row r="601">
      <c r="B601" s="50"/>
      <c r="C601" s="59"/>
      <c r="H601" s="52"/>
      <c r="T601" s="52"/>
    </row>
    <row r="602">
      <c r="B602" s="50"/>
      <c r="C602" s="59"/>
      <c r="H602" s="52"/>
      <c r="T602" s="52"/>
    </row>
    <row r="603">
      <c r="B603" s="50"/>
      <c r="C603" s="59"/>
      <c r="H603" s="52"/>
      <c r="T603" s="52"/>
    </row>
    <row r="604">
      <c r="B604" s="50"/>
      <c r="C604" s="59"/>
      <c r="H604" s="52"/>
      <c r="T604" s="52"/>
    </row>
    <row r="605">
      <c r="B605" s="50"/>
      <c r="C605" s="59"/>
      <c r="H605" s="52"/>
      <c r="T605" s="52"/>
    </row>
    <row r="606">
      <c r="B606" s="50"/>
      <c r="C606" s="59"/>
      <c r="H606" s="52"/>
      <c r="T606" s="52"/>
    </row>
    <row r="607">
      <c r="B607" s="50"/>
      <c r="C607" s="59"/>
      <c r="H607" s="52"/>
      <c r="T607" s="52"/>
    </row>
    <row r="608">
      <c r="B608" s="50"/>
      <c r="C608" s="59"/>
      <c r="H608" s="52"/>
      <c r="T608" s="52"/>
    </row>
    <row r="609">
      <c r="B609" s="50"/>
      <c r="C609" s="59"/>
      <c r="H609" s="52"/>
      <c r="T609" s="52"/>
    </row>
    <row r="610">
      <c r="B610" s="50"/>
      <c r="C610" s="59"/>
      <c r="H610" s="52"/>
      <c r="T610" s="52"/>
    </row>
    <row r="611">
      <c r="B611" s="50"/>
      <c r="C611" s="59"/>
      <c r="H611" s="52"/>
      <c r="T611" s="52"/>
    </row>
    <row r="612">
      <c r="B612" s="50"/>
      <c r="C612" s="59"/>
      <c r="H612" s="52"/>
      <c r="T612" s="52"/>
    </row>
    <row r="613">
      <c r="B613" s="50"/>
      <c r="C613" s="59"/>
      <c r="H613" s="52"/>
      <c r="T613" s="52"/>
    </row>
    <row r="614">
      <c r="B614" s="50"/>
      <c r="C614" s="59"/>
      <c r="H614" s="52"/>
      <c r="T614" s="52"/>
    </row>
    <row r="615">
      <c r="B615" s="50"/>
      <c r="C615" s="59"/>
      <c r="H615" s="52"/>
      <c r="T615" s="52"/>
    </row>
    <row r="616">
      <c r="B616" s="50"/>
      <c r="C616" s="59"/>
      <c r="H616" s="52"/>
      <c r="T616" s="52"/>
    </row>
    <row r="617">
      <c r="B617" s="50"/>
      <c r="C617" s="59"/>
      <c r="H617" s="52"/>
      <c r="T617" s="52"/>
    </row>
    <row r="618">
      <c r="B618" s="50"/>
      <c r="C618" s="59"/>
      <c r="H618" s="52"/>
      <c r="T618" s="52"/>
    </row>
    <row r="619">
      <c r="B619" s="50"/>
      <c r="C619" s="59"/>
      <c r="H619" s="52"/>
      <c r="T619" s="52"/>
    </row>
    <row r="620">
      <c r="B620" s="50"/>
      <c r="C620" s="59"/>
      <c r="H620" s="52"/>
      <c r="T620" s="52"/>
    </row>
    <row r="621">
      <c r="B621" s="50"/>
      <c r="C621" s="59"/>
      <c r="H621" s="52"/>
      <c r="T621" s="52"/>
    </row>
    <row r="622">
      <c r="B622" s="50"/>
      <c r="C622" s="59"/>
      <c r="H622" s="52"/>
      <c r="T622" s="52"/>
    </row>
    <row r="623">
      <c r="B623" s="50"/>
      <c r="C623" s="59"/>
      <c r="H623" s="52"/>
      <c r="T623" s="52"/>
    </row>
    <row r="624">
      <c r="B624" s="50"/>
      <c r="C624" s="59"/>
      <c r="H624" s="52"/>
      <c r="T624" s="52"/>
    </row>
    <row r="625">
      <c r="B625" s="50"/>
      <c r="C625" s="59"/>
      <c r="H625" s="52"/>
      <c r="T625" s="52"/>
    </row>
    <row r="626">
      <c r="B626" s="50"/>
      <c r="C626" s="59"/>
      <c r="H626" s="52"/>
      <c r="T626" s="52"/>
    </row>
    <row r="627">
      <c r="B627" s="50"/>
      <c r="C627" s="59"/>
      <c r="H627" s="52"/>
      <c r="T627" s="52"/>
    </row>
    <row r="628">
      <c r="B628" s="50"/>
      <c r="C628" s="59"/>
      <c r="H628" s="52"/>
      <c r="T628" s="52"/>
    </row>
    <row r="629">
      <c r="B629" s="50"/>
      <c r="C629" s="59"/>
      <c r="H629" s="52"/>
      <c r="T629" s="52"/>
    </row>
    <row r="630">
      <c r="B630" s="50"/>
      <c r="C630" s="59"/>
      <c r="H630" s="52"/>
      <c r="T630" s="52"/>
    </row>
    <row r="631">
      <c r="B631" s="50"/>
      <c r="C631" s="59"/>
      <c r="H631" s="52"/>
      <c r="T631" s="52"/>
    </row>
    <row r="632">
      <c r="B632" s="50"/>
      <c r="C632" s="59"/>
      <c r="H632" s="52"/>
      <c r="T632" s="52"/>
    </row>
    <row r="633">
      <c r="B633" s="50"/>
      <c r="C633" s="59"/>
      <c r="H633" s="52"/>
      <c r="T633" s="52"/>
    </row>
    <row r="634">
      <c r="B634" s="50"/>
      <c r="C634" s="59"/>
      <c r="H634" s="52"/>
      <c r="T634" s="52"/>
    </row>
    <row r="635">
      <c r="B635" s="50"/>
      <c r="C635" s="59"/>
      <c r="H635" s="52"/>
      <c r="T635" s="52"/>
    </row>
    <row r="636">
      <c r="B636" s="50"/>
      <c r="C636" s="59"/>
      <c r="H636" s="52"/>
      <c r="T636" s="52"/>
    </row>
    <row r="637">
      <c r="B637" s="50"/>
      <c r="C637" s="59"/>
      <c r="H637" s="52"/>
      <c r="T637" s="52"/>
    </row>
    <row r="638">
      <c r="B638" s="50"/>
      <c r="C638" s="59"/>
      <c r="H638" s="52"/>
      <c r="T638" s="52"/>
    </row>
    <row r="639">
      <c r="B639" s="50"/>
      <c r="C639" s="59"/>
      <c r="H639" s="52"/>
      <c r="T639" s="52"/>
    </row>
    <row r="640">
      <c r="B640" s="50"/>
      <c r="C640" s="59"/>
      <c r="H640" s="52"/>
      <c r="T640" s="52"/>
    </row>
    <row r="641">
      <c r="B641" s="50"/>
      <c r="C641" s="59"/>
      <c r="H641" s="52"/>
      <c r="T641" s="52"/>
    </row>
    <row r="642">
      <c r="B642" s="50"/>
      <c r="C642" s="59"/>
      <c r="H642" s="52"/>
      <c r="T642" s="52"/>
    </row>
    <row r="643">
      <c r="B643" s="50"/>
      <c r="C643" s="59"/>
      <c r="H643" s="52"/>
      <c r="T643" s="52"/>
    </row>
    <row r="644">
      <c r="B644" s="50"/>
      <c r="C644" s="59"/>
      <c r="H644" s="52"/>
      <c r="T644" s="52"/>
    </row>
    <row r="645">
      <c r="B645" s="50"/>
      <c r="C645" s="59"/>
      <c r="H645" s="52"/>
      <c r="T645" s="52"/>
    </row>
    <row r="646">
      <c r="B646" s="50"/>
      <c r="C646" s="59"/>
      <c r="H646" s="52"/>
      <c r="T646" s="52"/>
    </row>
    <row r="647">
      <c r="B647" s="50"/>
      <c r="C647" s="59"/>
      <c r="H647" s="52"/>
      <c r="T647" s="52"/>
    </row>
    <row r="648">
      <c r="B648" s="50"/>
      <c r="C648" s="59"/>
      <c r="H648" s="52"/>
      <c r="T648" s="52"/>
    </row>
    <row r="649">
      <c r="B649" s="50"/>
      <c r="C649" s="59"/>
      <c r="H649" s="52"/>
      <c r="T649" s="52"/>
    </row>
    <row r="650">
      <c r="B650" s="50"/>
      <c r="C650" s="59"/>
      <c r="H650" s="52"/>
      <c r="T650" s="52"/>
    </row>
    <row r="651">
      <c r="B651" s="50"/>
      <c r="C651" s="59"/>
      <c r="H651" s="52"/>
      <c r="T651" s="52"/>
    </row>
    <row r="652">
      <c r="B652" s="50"/>
      <c r="C652" s="59"/>
      <c r="H652" s="52"/>
      <c r="T652" s="52"/>
    </row>
    <row r="653">
      <c r="B653" s="50"/>
      <c r="C653" s="59"/>
      <c r="H653" s="52"/>
      <c r="T653" s="52"/>
    </row>
    <row r="654">
      <c r="B654" s="50"/>
      <c r="C654" s="59"/>
      <c r="H654" s="52"/>
      <c r="T654" s="52"/>
    </row>
    <row r="655">
      <c r="B655" s="50"/>
      <c r="C655" s="59"/>
      <c r="H655" s="52"/>
      <c r="T655" s="52"/>
    </row>
    <row r="656">
      <c r="B656" s="50"/>
      <c r="C656" s="59"/>
      <c r="H656" s="52"/>
      <c r="T656" s="52"/>
    </row>
    <row r="657">
      <c r="B657" s="50"/>
      <c r="C657" s="59"/>
      <c r="H657" s="52"/>
      <c r="T657" s="52"/>
    </row>
    <row r="658">
      <c r="B658" s="50"/>
      <c r="C658" s="59"/>
      <c r="H658" s="52"/>
      <c r="T658" s="52"/>
    </row>
    <row r="659">
      <c r="B659" s="50"/>
      <c r="C659" s="59"/>
      <c r="H659" s="52"/>
      <c r="T659" s="52"/>
    </row>
    <row r="660">
      <c r="B660" s="50"/>
      <c r="C660" s="59"/>
      <c r="H660" s="52"/>
      <c r="T660" s="52"/>
    </row>
    <row r="661">
      <c r="B661" s="50"/>
      <c r="C661" s="59"/>
      <c r="H661" s="52"/>
      <c r="T661" s="52"/>
    </row>
    <row r="662">
      <c r="B662" s="50"/>
      <c r="C662" s="59"/>
      <c r="H662" s="52"/>
      <c r="T662" s="52"/>
    </row>
    <row r="663">
      <c r="B663" s="50"/>
      <c r="C663" s="59"/>
      <c r="H663" s="52"/>
      <c r="T663" s="52"/>
    </row>
    <row r="664">
      <c r="B664" s="50"/>
      <c r="C664" s="59"/>
      <c r="H664" s="52"/>
      <c r="T664" s="52"/>
    </row>
    <row r="665">
      <c r="B665" s="50"/>
      <c r="C665" s="59"/>
      <c r="H665" s="52"/>
      <c r="T665" s="52"/>
    </row>
    <row r="666">
      <c r="B666" s="50"/>
      <c r="C666" s="59"/>
      <c r="H666" s="52"/>
      <c r="T666" s="52"/>
    </row>
    <row r="667">
      <c r="B667" s="50"/>
      <c r="C667" s="59"/>
      <c r="H667" s="52"/>
      <c r="T667" s="52"/>
    </row>
    <row r="668">
      <c r="B668" s="50"/>
      <c r="C668" s="59"/>
      <c r="H668" s="52"/>
      <c r="T668" s="52"/>
    </row>
    <row r="669">
      <c r="B669" s="50"/>
      <c r="C669" s="59"/>
      <c r="H669" s="52"/>
      <c r="T669" s="52"/>
    </row>
    <row r="670">
      <c r="B670" s="50"/>
      <c r="C670" s="59"/>
      <c r="H670" s="52"/>
      <c r="T670" s="52"/>
    </row>
    <row r="671">
      <c r="B671" s="50"/>
      <c r="C671" s="59"/>
      <c r="H671" s="52"/>
      <c r="T671" s="52"/>
    </row>
    <row r="672">
      <c r="B672" s="50"/>
      <c r="C672" s="59"/>
      <c r="H672" s="52"/>
      <c r="T672" s="52"/>
    </row>
    <row r="673">
      <c r="B673" s="50"/>
      <c r="C673" s="59"/>
      <c r="H673" s="52"/>
      <c r="T673" s="52"/>
    </row>
    <row r="674">
      <c r="B674" s="50"/>
      <c r="C674" s="59"/>
      <c r="H674" s="52"/>
      <c r="T674" s="52"/>
    </row>
    <row r="675">
      <c r="B675" s="50"/>
      <c r="C675" s="59"/>
      <c r="H675" s="52"/>
      <c r="T675" s="52"/>
    </row>
    <row r="676">
      <c r="B676" s="50"/>
      <c r="C676" s="59"/>
      <c r="H676" s="52"/>
      <c r="T676" s="52"/>
    </row>
    <row r="677">
      <c r="B677" s="50"/>
      <c r="C677" s="59"/>
      <c r="H677" s="52"/>
      <c r="T677" s="52"/>
    </row>
    <row r="678">
      <c r="B678" s="50"/>
      <c r="C678" s="59"/>
      <c r="H678" s="52"/>
      <c r="T678" s="52"/>
    </row>
    <row r="679">
      <c r="B679" s="50"/>
      <c r="C679" s="59"/>
      <c r="H679" s="52"/>
      <c r="T679" s="52"/>
    </row>
    <row r="680">
      <c r="B680" s="50"/>
      <c r="C680" s="59"/>
      <c r="H680" s="52"/>
      <c r="T680" s="52"/>
    </row>
    <row r="681">
      <c r="B681" s="50"/>
      <c r="C681" s="59"/>
      <c r="H681" s="52"/>
      <c r="T681" s="52"/>
    </row>
    <row r="682">
      <c r="B682" s="50"/>
      <c r="C682" s="59"/>
      <c r="H682" s="52"/>
      <c r="T682" s="52"/>
    </row>
    <row r="683">
      <c r="B683" s="50"/>
      <c r="C683" s="59"/>
      <c r="H683" s="52"/>
      <c r="T683" s="52"/>
    </row>
    <row r="684">
      <c r="B684" s="50"/>
      <c r="C684" s="59"/>
      <c r="H684" s="52"/>
      <c r="T684" s="52"/>
    </row>
    <row r="685">
      <c r="B685" s="50"/>
      <c r="C685" s="59"/>
      <c r="H685" s="52"/>
      <c r="T685" s="52"/>
    </row>
    <row r="686">
      <c r="B686" s="50"/>
      <c r="C686" s="59"/>
      <c r="H686" s="52"/>
      <c r="T686" s="52"/>
    </row>
    <row r="687">
      <c r="B687" s="50"/>
      <c r="C687" s="59"/>
      <c r="H687" s="52"/>
      <c r="T687" s="52"/>
    </row>
    <row r="688">
      <c r="B688" s="50"/>
      <c r="C688" s="59"/>
      <c r="H688" s="52"/>
      <c r="T688" s="52"/>
    </row>
    <row r="689">
      <c r="B689" s="50"/>
      <c r="C689" s="59"/>
      <c r="H689" s="52"/>
      <c r="T689" s="52"/>
    </row>
    <row r="690">
      <c r="B690" s="50"/>
      <c r="C690" s="59"/>
      <c r="H690" s="52"/>
      <c r="T690" s="52"/>
    </row>
    <row r="691">
      <c r="B691" s="50"/>
      <c r="C691" s="59"/>
      <c r="H691" s="52"/>
      <c r="T691" s="52"/>
    </row>
    <row r="692">
      <c r="B692" s="50"/>
      <c r="C692" s="59"/>
      <c r="H692" s="52"/>
      <c r="T692" s="52"/>
    </row>
    <row r="693">
      <c r="B693" s="50"/>
      <c r="C693" s="59"/>
      <c r="H693" s="52"/>
      <c r="T693" s="52"/>
    </row>
    <row r="694">
      <c r="B694" s="50"/>
      <c r="C694" s="59"/>
      <c r="H694" s="52"/>
      <c r="T694" s="52"/>
    </row>
    <row r="695">
      <c r="B695" s="50"/>
      <c r="C695" s="59"/>
      <c r="H695" s="52"/>
      <c r="T695" s="52"/>
    </row>
    <row r="696">
      <c r="B696" s="50"/>
      <c r="C696" s="59"/>
      <c r="H696" s="52"/>
      <c r="T696" s="52"/>
    </row>
    <row r="697">
      <c r="B697" s="50"/>
      <c r="C697" s="59"/>
      <c r="H697" s="52"/>
      <c r="T697" s="52"/>
    </row>
    <row r="698">
      <c r="B698" s="50"/>
      <c r="C698" s="59"/>
      <c r="H698" s="52"/>
      <c r="T698" s="52"/>
    </row>
    <row r="699">
      <c r="B699" s="50"/>
      <c r="C699" s="59"/>
      <c r="H699" s="52"/>
      <c r="T699" s="52"/>
    </row>
    <row r="700">
      <c r="B700" s="50"/>
      <c r="C700" s="59"/>
      <c r="H700" s="52"/>
      <c r="T700" s="52"/>
    </row>
    <row r="701">
      <c r="B701" s="50"/>
      <c r="C701" s="59"/>
      <c r="H701" s="52"/>
      <c r="T701" s="52"/>
    </row>
    <row r="702">
      <c r="B702" s="50"/>
      <c r="C702" s="59"/>
      <c r="H702" s="52"/>
      <c r="T702" s="52"/>
    </row>
    <row r="703">
      <c r="B703" s="50"/>
      <c r="C703" s="59"/>
      <c r="H703" s="52"/>
      <c r="T703" s="52"/>
    </row>
    <row r="704">
      <c r="B704" s="50"/>
      <c r="C704" s="59"/>
      <c r="H704" s="52"/>
      <c r="T704" s="52"/>
    </row>
    <row r="705">
      <c r="B705" s="50"/>
      <c r="C705" s="59"/>
      <c r="H705" s="52"/>
      <c r="T705" s="52"/>
    </row>
    <row r="706">
      <c r="B706" s="50"/>
      <c r="C706" s="59"/>
      <c r="H706" s="52"/>
      <c r="T706" s="52"/>
    </row>
    <row r="707">
      <c r="B707" s="50"/>
      <c r="C707" s="59"/>
      <c r="H707" s="52"/>
      <c r="T707" s="52"/>
    </row>
    <row r="708">
      <c r="B708" s="50"/>
      <c r="C708" s="59"/>
      <c r="H708" s="52"/>
      <c r="T708" s="52"/>
    </row>
    <row r="709">
      <c r="B709" s="50"/>
      <c r="C709" s="59"/>
      <c r="H709" s="52"/>
      <c r="T709" s="52"/>
    </row>
    <row r="710">
      <c r="B710" s="50"/>
      <c r="C710" s="59"/>
      <c r="H710" s="52"/>
      <c r="T710" s="52"/>
    </row>
    <row r="711">
      <c r="B711" s="50"/>
      <c r="C711" s="59"/>
      <c r="H711" s="52"/>
      <c r="T711" s="52"/>
    </row>
    <row r="712">
      <c r="B712" s="50"/>
      <c r="C712" s="59"/>
      <c r="H712" s="52"/>
      <c r="T712" s="52"/>
    </row>
    <row r="713">
      <c r="B713" s="50"/>
      <c r="C713" s="59"/>
      <c r="H713" s="52"/>
      <c r="T713" s="52"/>
    </row>
    <row r="714">
      <c r="B714" s="50"/>
      <c r="C714" s="59"/>
      <c r="H714" s="52"/>
      <c r="T714" s="52"/>
    </row>
    <row r="715">
      <c r="B715" s="50"/>
      <c r="C715" s="59"/>
      <c r="H715" s="52"/>
      <c r="T715" s="52"/>
    </row>
    <row r="716">
      <c r="B716" s="50"/>
      <c r="C716" s="59"/>
      <c r="H716" s="52"/>
      <c r="T716" s="52"/>
    </row>
    <row r="717">
      <c r="B717" s="50"/>
      <c r="C717" s="59"/>
      <c r="H717" s="52"/>
      <c r="T717" s="52"/>
    </row>
    <row r="718">
      <c r="B718" s="50"/>
      <c r="C718" s="59"/>
      <c r="H718" s="52"/>
      <c r="T718" s="52"/>
    </row>
    <row r="719">
      <c r="B719" s="50"/>
      <c r="C719" s="59"/>
      <c r="H719" s="52"/>
      <c r="T719" s="52"/>
    </row>
    <row r="720">
      <c r="B720" s="50"/>
      <c r="C720" s="59"/>
      <c r="H720" s="52"/>
      <c r="T720" s="52"/>
    </row>
    <row r="721">
      <c r="B721" s="50"/>
      <c r="C721" s="59"/>
      <c r="H721" s="52"/>
      <c r="T721" s="52"/>
    </row>
    <row r="722">
      <c r="B722" s="50"/>
      <c r="C722" s="59"/>
      <c r="H722" s="52"/>
      <c r="T722" s="52"/>
    </row>
    <row r="723">
      <c r="B723" s="50"/>
      <c r="C723" s="59"/>
      <c r="H723" s="52"/>
      <c r="T723" s="52"/>
    </row>
    <row r="724">
      <c r="B724" s="50"/>
      <c r="C724" s="59"/>
      <c r="H724" s="52"/>
      <c r="T724" s="52"/>
    </row>
    <row r="725">
      <c r="B725" s="50"/>
      <c r="C725" s="59"/>
      <c r="H725" s="52"/>
      <c r="T725" s="52"/>
    </row>
    <row r="726">
      <c r="B726" s="50"/>
      <c r="C726" s="59"/>
      <c r="H726" s="52"/>
      <c r="T726" s="52"/>
    </row>
    <row r="727">
      <c r="B727" s="50"/>
      <c r="C727" s="59"/>
      <c r="H727" s="52"/>
      <c r="T727" s="52"/>
    </row>
    <row r="728">
      <c r="B728" s="50"/>
      <c r="C728" s="59"/>
      <c r="H728" s="52"/>
      <c r="T728" s="52"/>
    </row>
    <row r="729">
      <c r="B729" s="50"/>
      <c r="C729" s="59"/>
      <c r="H729" s="52"/>
      <c r="T729" s="52"/>
    </row>
    <row r="730">
      <c r="B730" s="50"/>
      <c r="C730" s="59"/>
      <c r="H730" s="52"/>
      <c r="T730" s="52"/>
    </row>
    <row r="731">
      <c r="B731" s="50"/>
      <c r="C731" s="59"/>
      <c r="H731" s="52"/>
      <c r="T731" s="52"/>
    </row>
    <row r="732">
      <c r="B732" s="50"/>
      <c r="C732" s="59"/>
      <c r="H732" s="52"/>
      <c r="T732" s="52"/>
    </row>
    <row r="733">
      <c r="B733" s="50"/>
      <c r="C733" s="59"/>
      <c r="H733" s="52"/>
      <c r="T733" s="52"/>
    </row>
    <row r="734">
      <c r="B734" s="50"/>
      <c r="C734" s="59"/>
      <c r="H734" s="52"/>
      <c r="T734" s="52"/>
    </row>
    <row r="735">
      <c r="B735" s="50"/>
      <c r="C735" s="59"/>
      <c r="H735" s="52"/>
      <c r="T735" s="52"/>
    </row>
    <row r="736">
      <c r="B736" s="50"/>
      <c r="C736" s="59"/>
      <c r="H736" s="52"/>
      <c r="T736" s="52"/>
    </row>
    <row r="737">
      <c r="B737" s="50"/>
      <c r="C737" s="59"/>
      <c r="H737" s="52"/>
      <c r="T737" s="52"/>
    </row>
    <row r="738">
      <c r="B738" s="50"/>
      <c r="C738" s="59"/>
      <c r="H738" s="52"/>
      <c r="T738" s="52"/>
    </row>
    <row r="739">
      <c r="B739" s="50"/>
      <c r="C739" s="59"/>
      <c r="H739" s="52"/>
      <c r="T739" s="52"/>
    </row>
    <row r="740">
      <c r="B740" s="50"/>
      <c r="C740" s="59"/>
      <c r="H740" s="52"/>
      <c r="T740" s="52"/>
    </row>
    <row r="741">
      <c r="B741" s="50"/>
      <c r="C741" s="59"/>
      <c r="H741" s="52"/>
      <c r="T741" s="52"/>
    </row>
    <row r="742">
      <c r="B742" s="50"/>
      <c r="C742" s="59"/>
      <c r="H742" s="52"/>
      <c r="T742" s="52"/>
    </row>
    <row r="743">
      <c r="B743" s="50"/>
      <c r="C743" s="59"/>
      <c r="H743" s="52"/>
      <c r="T743" s="52"/>
    </row>
    <row r="744">
      <c r="B744" s="50"/>
      <c r="C744" s="59"/>
      <c r="H744" s="52"/>
      <c r="T744" s="52"/>
    </row>
    <row r="745">
      <c r="B745" s="50"/>
      <c r="C745" s="59"/>
      <c r="H745" s="52"/>
      <c r="T745" s="52"/>
    </row>
    <row r="746">
      <c r="B746" s="50"/>
      <c r="C746" s="59"/>
      <c r="H746" s="52"/>
      <c r="T746" s="52"/>
    </row>
    <row r="747">
      <c r="B747" s="50"/>
      <c r="C747" s="59"/>
      <c r="H747" s="52"/>
      <c r="T747" s="52"/>
    </row>
    <row r="748">
      <c r="B748" s="50"/>
      <c r="C748" s="59"/>
      <c r="H748" s="52"/>
      <c r="T748" s="52"/>
    </row>
    <row r="749">
      <c r="B749" s="50"/>
      <c r="C749" s="59"/>
      <c r="H749" s="52"/>
      <c r="T749" s="52"/>
    </row>
    <row r="750">
      <c r="B750" s="50"/>
      <c r="C750" s="59"/>
      <c r="H750" s="52"/>
      <c r="T750" s="52"/>
    </row>
    <row r="751">
      <c r="B751" s="50"/>
      <c r="C751" s="59"/>
      <c r="H751" s="52"/>
      <c r="T751" s="52"/>
    </row>
    <row r="752">
      <c r="B752" s="50"/>
      <c r="C752" s="59"/>
      <c r="H752" s="52"/>
      <c r="T752" s="52"/>
    </row>
    <row r="753">
      <c r="B753" s="50"/>
      <c r="C753" s="59"/>
      <c r="H753" s="52"/>
      <c r="T753" s="52"/>
    </row>
    <row r="754">
      <c r="B754" s="50"/>
      <c r="C754" s="59"/>
      <c r="H754" s="52"/>
      <c r="T754" s="52"/>
    </row>
    <row r="755">
      <c r="B755" s="50"/>
      <c r="C755" s="59"/>
      <c r="H755" s="52"/>
      <c r="T755" s="52"/>
    </row>
    <row r="756">
      <c r="B756" s="50"/>
      <c r="C756" s="59"/>
      <c r="H756" s="52"/>
      <c r="T756" s="52"/>
    </row>
    <row r="757">
      <c r="B757" s="50"/>
      <c r="C757" s="59"/>
      <c r="H757" s="52"/>
      <c r="T757" s="52"/>
    </row>
    <row r="758">
      <c r="B758" s="50"/>
      <c r="C758" s="59"/>
      <c r="H758" s="52"/>
      <c r="T758" s="52"/>
    </row>
    <row r="759">
      <c r="B759" s="50"/>
      <c r="C759" s="59"/>
      <c r="H759" s="52"/>
      <c r="T759" s="52"/>
    </row>
    <row r="760">
      <c r="B760" s="50"/>
      <c r="C760" s="59"/>
      <c r="H760" s="52"/>
      <c r="T760" s="52"/>
    </row>
    <row r="761">
      <c r="B761" s="50"/>
      <c r="C761" s="59"/>
      <c r="H761" s="52"/>
      <c r="T761" s="52"/>
    </row>
    <row r="762">
      <c r="B762" s="50"/>
      <c r="C762" s="59"/>
      <c r="H762" s="52"/>
      <c r="T762" s="52"/>
    </row>
    <row r="763">
      <c r="B763" s="50"/>
      <c r="C763" s="59"/>
      <c r="H763" s="52"/>
      <c r="T763" s="52"/>
    </row>
    <row r="764">
      <c r="B764" s="50"/>
      <c r="C764" s="59"/>
      <c r="H764" s="52"/>
      <c r="T764" s="52"/>
    </row>
    <row r="765">
      <c r="B765" s="50"/>
      <c r="C765" s="59"/>
      <c r="H765" s="52"/>
      <c r="T765" s="52"/>
    </row>
    <row r="766">
      <c r="B766" s="50"/>
      <c r="C766" s="59"/>
      <c r="H766" s="52"/>
      <c r="T766" s="52"/>
    </row>
    <row r="767">
      <c r="B767" s="50"/>
      <c r="C767" s="59"/>
      <c r="H767" s="52"/>
      <c r="T767" s="52"/>
    </row>
    <row r="768">
      <c r="B768" s="50"/>
      <c r="C768" s="59"/>
      <c r="H768" s="52"/>
      <c r="T768" s="52"/>
    </row>
    <row r="769">
      <c r="B769" s="50"/>
      <c r="C769" s="59"/>
      <c r="H769" s="52"/>
      <c r="T769" s="52"/>
    </row>
    <row r="770">
      <c r="B770" s="50"/>
      <c r="C770" s="59"/>
      <c r="H770" s="52"/>
      <c r="T770" s="52"/>
    </row>
    <row r="771">
      <c r="B771" s="50"/>
      <c r="C771" s="59"/>
      <c r="H771" s="52"/>
      <c r="T771" s="52"/>
    </row>
    <row r="772">
      <c r="B772" s="50"/>
      <c r="C772" s="59"/>
      <c r="H772" s="52"/>
      <c r="T772" s="52"/>
    </row>
    <row r="773">
      <c r="B773" s="50"/>
      <c r="C773" s="59"/>
      <c r="H773" s="52"/>
      <c r="T773" s="52"/>
    </row>
    <row r="774">
      <c r="B774" s="50"/>
      <c r="C774" s="59"/>
      <c r="H774" s="52"/>
      <c r="T774" s="52"/>
    </row>
    <row r="775">
      <c r="B775" s="50"/>
      <c r="C775" s="59"/>
      <c r="H775" s="52"/>
      <c r="T775" s="52"/>
    </row>
    <row r="776">
      <c r="B776" s="50"/>
      <c r="C776" s="59"/>
      <c r="H776" s="52"/>
      <c r="T776" s="52"/>
    </row>
    <row r="777">
      <c r="B777" s="50"/>
      <c r="C777" s="59"/>
      <c r="H777" s="52"/>
      <c r="T777" s="52"/>
    </row>
    <row r="778">
      <c r="B778" s="50"/>
      <c r="C778" s="59"/>
      <c r="H778" s="52"/>
      <c r="T778" s="52"/>
    </row>
    <row r="779">
      <c r="B779" s="50"/>
      <c r="C779" s="59"/>
      <c r="H779" s="52"/>
      <c r="T779" s="52"/>
    </row>
    <row r="780">
      <c r="B780" s="50"/>
      <c r="C780" s="59"/>
      <c r="H780" s="52"/>
      <c r="T780" s="52"/>
    </row>
    <row r="781">
      <c r="B781" s="50"/>
      <c r="C781" s="59"/>
      <c r="H781" s="52"/>
      <c r="T781" s="52"/>
    </row>
    <row r="782">
      <c r="B782" s="50"/>
      <c r="C782" s="59"/>
      <c r="H782" s="52"/>
      <c r="T782" s="52"/>
    </row>
    <row r="783">
      <c r="B783" s="50"/>
      <c r="C783" s="59"/>
      <c r="H783" s="52"/>
      <c r="T783" s="52"/>
    </row>
    <row r="784">
      <c r="B784" s="50"/>
      <c r="C784" s="59"/>
      <c r="H784" s="52"/>
      <c r="T784" s="52"/>
    </row>
    <row r="785">
      <c r="B785" s="50"/>
      <c r="C785" s="59"/>
      <c r="H785" s="52"/>
      <c r="T785" s="52"/>
    </row>
    <row r="786">
      <c r="B786" s="50"/>
      <c r="C786" s="59"/>
      <c r="H786" s="52"/>
      <c r="T786" s="52"/>
    </row>
    <row r="787">
      <c r="B787" s="50"/>
      <c r="C787" s="59"/>
      <c r="H787" s="52"/>
      <c r="T787" s="52"/>
    </row>
    <row r="788">
      <c r="B788" s="50"/>
      <c r="C788" s="59"/>
      <c r="H788" s="52"/>
      <c r="T788" s="52"/>
    </row>
    <row r="789">
      <c r="B789" s="50"/>
      <c r="C789" s="59"/>
      <c r="H789" s="52"/>
      <c r="T789" s="52"/>
    </row>
    <row r="790">
      <c r="B790" s="50"/>
      <c r="C790" s="59"/>
      <c r="H790" s="52"/>
      <c r="T790" s="52"/>
    </row>
    <row r="791">
      <c r="B791" s="50"/>
      <c r="C791" s="59"/>
      <c r="H791" s="52"/>
      <c r="T791" s="52"/>
    </row>
    <row r="792">
      <c r="B792" s="50"/>
      <c r="C792" s="59"/>
      <c r="H792" s="52"/>
      <c r="T792" s="52"/>
    </row>
    <row r="793">
      <c r="B793" s="50"/>
      <c r="C793" s="59"/>
      <c r="H793" s="52"/>
      <c r="T793" s="52"/>
    </row>
    <row r="794">
      <c r="B794" s="50"/>
      <c r="C794" s="59"/>
      <c r="H794" s="52"/>
      <c r="T794" s="52"/>
    </row>
    <row r="795">
      <c r="B795" s="50"/>
      <c r="C795" s="59"/>
      <c r="H795" s="52"/>
      <c r="T795" s="52"/>
    </row>
    <row r="796">
      <c r="B796" s="50"/>
      <c r="C796" s="59"/>
      <c r="H796" s="52"/>
      <c r="T796" s="52"/>
    </row>
    <row r="797">
      <c r="B797" s="50"/>
      <c r="C797" s="59"/>
      <c r="H797" s="52"/>
      <c r="T797" s="52"/>
    </row>
    <row r="798">
      <c r="B798" s="50"/>
      <c r="C798" s="59"/>
      <c r="H798" s="52"/>
      <c r="T798" s="52"/>
    </row>
    <row r="799">
      <c r="B799" s="50"/>
      <c r="C799" s="59"/>
      <c r="H799" s="52"/>
      <c r="T799" s="52"/>
    </row>
    <row r="800">
      <c r="B800" s="50"/>
      <c r="C800" s="59"/>
      <c r="H800" s="52"/>
      <c r="T800" s="52"/>
    </row>
    <row r="801">
      <c r="B801" s="50"/>
      <c r="C801" s="59"/>
      <c r="H801" s="52"/>
      <c r="T801" s="52"/>
    </row>
    <row r="802">
      <c r="B802" s="50"/>
      <c r="C802" s="59"/>
      <c r="H802" s="52"/>
      <c r="T802" s="52"/>
    </row>
    <row r="803">
      <c r="B803" s="50"/>
      <c r="C803" s="59"/>
      <c r="H803" s="52"/>
      <c r="T803" s="52"/>
    </row>
    <row r="804">
      <c r="B804" s="50"/>
      <c r="C804" s="59"/>
      <c r="H804" s="52"/>
      <c r="T804" s="52"/>
    </row>
    <row r="805">
      <c r="B805" s="50"/>
      <c r="C805" s="59"/>
      <c r="H805" s="52"/>
      <c r="T805" s="52"/>
    </row>
    <row r="806">
      <c r="B806" s="50"/>
      <c r="C806" s="59"/>
      <c r="H806" s="52"/>
      <c r="T806" s="52"/>
    </row>
    <row r="807">
      <c r="B807" s="50"/>
      <c r="C807" s="59"/>
      <c r="H807" s="52"/>
      <c r="T807" s="52"/>
    </row>
    <row r="808">
      <c r="B808" s="50"/>
      <c r="C808" s="59"/>
      <c r="H808" s="52"/>
      <c r="T808" s="52"/>
    </row>
    <row r="809">
      <c r="B809" s="50"/>
      <c r="C809" s="59"/>
      <c r="H809" s="52"/>
      <c r="T809" s="52"/>
    </row>
    <row r="810">
      <c r="B810" s="50"/>
      <c r="C810" s="59"/>
      <c r="H810" s="52"/>
      <c r="T810" s="52"/>
    </row>
    <row r="811">
      <c r="B811" s="50"/>
      <c r="C811" s="59"/>
      <c r="H811" s="52"/>
      <c r="T811" s="52"/>
    </row>
    <row r="812">
      <c r="B812" s="50"/>
      <c r="C812" s="59"/>
      <c r="H812" s="52"/>
      <c r="T812" s="52"/>
    </row>
    <row r="813">
      <c r="B813" s="50"/>
      <c r="C813" s="59"/>
      <c r="H813" s="52"/>
      <c r="T813" s="52"/>
    </row>
    <row r="814">
      <c r="B814" s="50"/>
      <c r="C814" s="59"/>
      <c r="H814" s="52"/>
      <c r="T814" s="52"/>
    </row>
    <row r="815">
      <c r="B815" s="50"/>
      <c r="C815" s="59"/>
      <c r="H815" s="52"/>
      <c r="T815" s="52"/>
    </row>
    <row r="816">
      <c r="B816" s="50"/>
      <c r="C816" s="59"/>
      <c r="H816" s="52"/>
      <c r="T816" s="52"/>
    </row>
    <row r="817">
      <c r="B817" s="50"/>
      <c r="C817" s="59"/>
      <c r="H817" s="52"/>
      <c r="T817" s="52"/>
    </row>
    <row r="818">
      <c r="B818" s="50"/>
      <c r="C818" s="59"/>
      <c r="H818" s="52"/>
      <c r="T818" s="52"/>
    </row>
    <row r="819">
      <c r="B819" s="50"/>
      <c r="C819" s="59"/>
      <c r="H819" s="52"/>
      <c r="T819" s="52"/>
    </row>
    <row r="820">
      <c r="B820" s="50"/>
      <c r="C820" s="59"/>
      <c r="H820" s="52"/>
      <c r="T820" s="52"/>
    </row>
    <row r="821">
      <c r="B821" s="50"/>
      <c r="C821" s="59"/>
      <c r="H821" s="52"/>
      <c r="T821" s="52"/>
    </row>
    <row r="822">
      <c r="B822" s="50"/>
      <c r="C822" s="59"/>
      <c r="H822" s="52"/>
      <c r="T822" s="52"/>
    </row>
    <row r="823">
      <c r="B823" s="50"/>
      <c r="C823" s="59"/>
      <c r="H823" s="52"/>
      <c r="T823" s="52"/>
    </row>
    <row r="824">
      <c r="B824" s="50"/>
      <c r="C824" s="59"/>
      <c r="H824" s="52"/>
      <c r="T824" s="52"/>
    </row>
    <row r="825">
      <c r="B825" s="50"/>
      <c r="C825" s="59"/>
      <c r="H825" s="52"/>
      <c r="T825" s="52"/>
    </row>
    <row r="826">
      <c r="B826" s="50"/>
      <c r="C826" s="59"/>
      <c r="H826" s="52"/>
      <c r="T826" s="52"/>
    </row>
    <row r="827">
      <c r="B827" s="50"/>
      <c r="C827" s="59"/>
      <c r="H827" s="52"/>
      <c r="T827" s="52"/>
    </row>
    <row r="828">
      <c r="B828" s="50"/>
      <c r="C828" s="59"/>
      <c r="H828" s="52"/>
      <c r="T828" s="52"/>
    </row>
    <row r="829">
      <c r="B829" s="50"/>
      <c r="C829" s="59"/>
      <c r="H829" s="52"/>
      <c r="T829" s="52"/>
    </row>
    <row r="830">
      <c r="B830" s="50"/>
      <c r="C830" s="59"/>
      <c r="H830" s="52"/>
      <c r="T830" s="52"/>
    </row>
    <row r="831">
      <c r="B831" s="50"/>
      <c r="C831" s="59"/>
      <c r="H831" s="52"/>
      <c r="T831" s="52"/>
    </row>
    <row r="832">
      <c r="B832" s="50"/>
      <c r="C832" s="59"/>
      <c r="H832" s="52"/>
      <c r="T832" s="52"/>
    </row>
    <row r="833">
      <c r="B833" s="50"/>
      <c r="C833" s="59"/>
      <c r="H833" s="52"/>
      <c r="T833" s="52"/>
    </row>
    <row r="834">
      <c r="B834" s="50"/>
      <c r="C834" s="59"/>
      <c r="H834" s="52"/>
      <c r="T834" s="52"/>
    </row>
    <row r="835">
      <c r="B835" s="50"/>
      <c r="C835" s="59"/>
      <c r="H835" s="52"/>
      <c r="T835" s="52"/>
    </row>
    <row r="836">
      <c r="B836" s="50"/>
      <c r="C836" s="59"/>
      <c r="H836" s="52"/>
      <c r="T836" s="52"/>
    </row>
    <row r="837">
      <c r="B837" s="50"/>
      <c r="C837" s="59"/>
      <c r="H837" s="52"/>
      <c r="T837" s="52"/>
    </row>
    <row r="838">
      <c r="B838" s="50"/>
      <c r="C838" s="59"/>
      <c r="H838" s="52"/>
      <c r="T838" s="52"/>
    </row>
    <row r="839">
      <c r="B839" s="50"/>
      <c r="C839" s="59"/>
      <c r="H839" s="52"/>
      <c r="T839" s="52"/>
    </row>
    <row r="840">
      <c r="B840" s="50"/>
      <c r="C840" s="59"/>
      <c r="H840" s="52"/>
      <c r="T840" s="52"/>
    </row>
    <row r="841">
      <c r="B841" s="50"/>
      <c r="C841" s="59"/>
      <c r="H841" s="52"/>
      <c r="T841" s="52"/>
    </row>
    <row r="842">
      <c r="B842" s="50"/>
      <c r="C842" s="59"/>
      <c r="H842" s="52"/>
      <c r="T842" s="52"/>
    </row>
    <row r="843">
      <c r="B843" s="50"/>
      <c r="C843" s="59"/>
      <c r="H843" s="52"/>
      <c r="T843" s="52"/>
    </row>
    <row r="844">
      <c r="B844" s="50"/>
      <c r="C844" s="59"/>
      <c r="H844" s="52"/>
      <c r="T844" s="52"/>
    </row>
    <row r="845">
      <c r="B845" s="50"/>
      <c r="C845" s="59"/>
      <c r="H845" s="52"/>
      <c r="T845" s="52"/>
    </row>
    <row r="846">
      <c r="B846" s="50"/>
      <c r="C846" s="59"/>
      <c r="H846" s="52"/>
      <c r="T846" s="52"/>
    </row>
    <row r="847">
      <c r="B847" s="50"/>
      <c r="C847" s="59"/>
      <c r="H847" s="52"/>
      <c r="T847" s="52"/>
    </row>
    <row r="848">
      <c r="B848" s="50"/>
      <c r="C848" s="59"/>
      <c r="H848" s="52"/>
      <c r="T848" s="52"/>
    </row>
    <row r="849">
      <c r="B849" s="50"/>
      <c r="C849" s="59"/>
      <c r="H849" s="52"/>
      <c r="T849" s="52"/>
    </row>
    <row r="850">
      <c r="B850" s="50"/>
      <c r="C850" s="59"/>
      <c r="H850" s="52"/>
      <c r="T850" s="52"/>
    </row>
    <row r="851">
      <c r="B851" s="50"/>
      <c r="C851" s="59"/>
      <c r="H851" s="52"/>
      <c r="T851" s="52"/>
    </row>
    <row r="852">
      <c r="B852" s="50"/>
      <c r="C852" s="59"/>
      <c r="H852" s="52"/>
      <c r="T852" s="52"/>
    </row>
    <row r="853">
      <c r="B853" s="50"/>
      <c r="C853" s="59"/>
      <c r="H853" s="52"/>
      <c r="T853" s="52"/>
    </row>
    <row r="854">
      <c r="B854" s="50"/>
      <c r="C854" s="59"/>
      <c r="H854" s="52"/>
      <c r="T854" s="52"/>
    </row>
    <row r="855">
      <c r="B855" s="50"/>
      <c r="C855" s="59"/>
      <c r="H855" s="52"/>
      <c r="T855" s="52"/>
    </row>
    <row r="856">
      <c r="B856" s="50"/>
      <c r="C856" s="59"/>
      <c r="H856" s="52"/>
      <c r="T856" s="52"/>
    </row>
    <row r="857">
      <c r="B857" s="50"/>
      <c r="C857" s="59"/>
      <c r="H857" s="52"/>
      <c r="T857" s="52"/>
    </row>
    <row r="858">
      <c r="B858" s="50"/>
      <c r="C858" s="59"/>
      <c r="H858" s="52"/>
      <c r="T858" s="52"/>
    </row>
    <row r="859">
      <c r="B859" s="50"/>
      <c r="C859" s="59"/>
      <c r="H859" s="52"/>
      <c r="T859" s="52"/>
    </row>
    <row r="860">
      <c r="B860" s="50"/>
      <c r="C860" s="59"/>
      <c r="H860" s="52"/>
      <c r="T860" s="52"/>
    </row>
    <row r="861">
      <c r="B861" s="50"/>
      <c r="C861" s="59"/>
      <c r="H861" s="52"/>
      <c r="T861" s="52"/>
    </row>
    <row r="862">
      <c r="B862" s="50"/>
      <c r="C862" s="59"/>
      <c r="H862" s="52"/>
      <c r="T862" s="52"/>
    </row>
    <row r="863">
      <c r="B863" s="50"/>
      <c r="C863" s="59"/>
      <c r="H863" s="52"/>
      <c r="T863" s="52"/>
    </row>
    <row r="864">
      <c r="B864" s="50"/>
      <c r="C864" s="59"/>
      <c r="H864" s="52"/>
      <c r="T864" s="52"/>
    </row>
    <row r="865">
      <c r="B865" s="50"/>
      <c r="C865" s="59"/>
      <c r="H865" s="52"/>
      <c r="T865" s="52"/>
    </row>
    <row r="866">
      <c r="B866" s="50"/>
      <c r="C866" s="59"/>
      <c r="H866" s="52"/>
      <c r="T866" s="52"/>
    </row>
    <row r="867">
      <c r="B867" s="50"/>
      <c r="C867" s="59"/>
      <c r="H867" s="52"/>
      <c r="T867" s="52"/>
    </row>
    <row r="868">
      <c r="B868" s="50"/>
      <c r="C868" s="59"/>
      <c r="H868" s="52"/>
      <c r="T868" s="52"/>
    </row>
    <row r="869">
      <c r="B869" s="50"/>
      <c r="C869" s="59"/>
      <c r="H869" s="52"/>
      <c r="T869" s="52"/>
    </row>
    <row r="870">
      <c r="B870" s="50"/>
      <c r="C870" s="59"/>
      <c r="H870" s="52"/>
      <c r="T870" s="52"/>
    </row>
    <row r="871">
      <c r="B871" s="50"/>
      <c r="C871" s="59"/>
      <c r="H871" s="52"/>
      <c r="T871" s="52"/>
    </row>
    <row r="872">
      <c r="B872" s="50"/>
      <c r="C872" s="59"/>
      <c r="H872" s="52"/>
      <c r="T872" s="52"/>
    </row>
    <row r="873">
      <c r="B873" s="50"/>
      <c r="C873" s="59"/>
      <c r="H873" s="52"/>
      <c r="T873" s="52"/>
    </row>
    <row r="874">
      <c r="B874" s="50"/>
      <c r="C874" s="59"/>
      <c r="H874" s="52"/>
      <c r="T874" s="52"/>
    </row>
    <row r="875">
      <c r="B875" s="50"/>
      <c r="C875" s="59"/>
      <c r="H875" s="52"/>
      <c r="T875" s="52"/>
    </row>
    <row r="876">
      <c r="B876" s="50"/>
      <c r="C876" s="59"/>
      <c r="H876" s="52"/>
      <c r="T876" s="52"/>
    </row>
    <row r="877">
      <c r="B877" s="50"/>
      <c r="C877" s="59"/>
      <c r="H877" s="52"/>
      <c r="T877" s="52"/>
    </row>
    <row r="878">
      <c r="B878" s="50"/>
      <c r="C878" s="59"/>
      <c r="H878" s="52"/>
      <c r="T878" s="52"/>
    </row>
    <row r="879">
      <c r="B879" s="50"/>
      <c r="C879" s="59"/>
      <c r="H879" s="52"/>
      <c r="T879" s="52"/>
    </row>
    <row r="880">
      <c r="B880" s="50"/>
      <c r="C880" s="59"/>
      <c r="H880" s="52"/>
      <c r="T880" s="52"/>
    </row>
    <row r="881">
      <c r="B881" s="50"/>
      <c r="C881" s="59"/>
      <c r="H881" s="52"/>
      <c r="T881" s="52"/>
    </row>
    <row r="882">
      <c r="B882" s="50"/>
      <c r="C882" s="59"/>
      <c r="H882" s="52"/>
      <c r="T882" s="52"/>
    </row>
    <row r="883">
      <c r="B883" s="50"/>
      <c r="C883" s="59"/>
      <c r="H883" s="52"/>
      <c r="T883" s="52"/>
    </row>
    <row r="884">
      <c r="B884" s="50"/>
      <c r="C884" s="59"/>
      <c r="H884" s="52"/>
      <c r="T884" s="52"/>
    </row>
    <row r="885">
      <c r="B885" s="50"/>
      <c r="C885" s="59"/>
      <c r="H885" s="52"/>
      <c r="T885" s="52"/>
    </row>
    <row r="886">
      <c r="B886" s="50"/>
      <c r="C886" s="59"/>
      <c r="H886" s="52"/>
      <c r="T886" s="52"/>
    </row>
    <row r="887">
      <c r="B887" s="50"/>
      <c r="C887" s="59"/>
      <c r="H887" s="52"/>
      <c r="T887" s="52"/>
    </row>
    <row r="888">
      <c r="B888" s="50"/>
      <c r="C888" s="59"/>
      <c r="H888" s="52"/>
      <c r="T888" s="52"/>
    </row>
    <row r="889">
      <c r="B889" s="50"/>
      <c r="C889" s="59"/>
      <c r="H889" s="52"/>
      <c r="T889" s="52"/>
    </row>
    <row r="890">
      <c r="B890" s="50"/>
      <c r="C890" s="59"/>
      <c r="H890" s="52"/>
      <c r="T890" s="52"/>
    </row>
    <row r="891">
      <c r="B891" s="50"/>
      <c r="C891" s="59"/>
      <c r="H891" s="52"/>
      <c r="T891" s="52"/>
    </row>
    <row r="892">
      <c r="B892" s="50"/>
      <c r="C892" s="59"/>
      <c r="H892" s="52"/>
      <c r="T892" s="52"/>
    </row>
    <row r="893">
      <c r="B893" s="50"/>
      <c r="C893" s="59"/>
      <c r="H893" s="52"/>
      <c r="T893" s="52"/>
    </row>
    <row r="894">
      <c r="B894" s="50"/>
      <c r="C894" s="59"/>
      <c r="H894" s="52"/>
      <c r="T894" s="52"/>
    </row>
    <row r="895">
      <c r="B895" s="50"/>
      <c r="C895" s="59"/>
      <c r="H895" s="52"/>
      <c r="T895" s="52"/>
    </row>
    <row r="896">
      <c r="B896" s="50"/>
      <c r="C896" s="59"/>
      <c r="H896" s="52"/>
      <c r="T896" s="52"/>
    </row>
    <row r="897">
      <c r="B897" s="50"/>
      <c r="C897" s="59"/>
      <c r="H897" s="52"/>
      <c r="T897" s="52"/>
    </row>
    <row r="898">
      <c r="B898" s="50"/>
      <c r="C898" s="59"/>
      <c r="H898" s="52"/>
      <c r="T898" s="52"/>
    </row>
    <row r="899">
      <c r="B899" s="50"/>
      <c r="C899" s="59"/>
      <c r="H899" s="52"/>
      <c r="T899" s="52"/>
    </row>
    <row r="900">
      <c r="B900" s="50"/>
      <c r="C900" s="59"/>
      <c r="H900" s="52"/>
      <c r="T900" s="52"/>
    </row>
    <row r="901">
      <c r="B901" s="50"/>
      <c r="C901" s="59"/>
      <c r="H901" s="52"/>
      <c r="T901" s="52"/>
    </row>
    <row r="902">
      <c r="B902" s="50"/>
      <c r="C902" s="59"/>
      <c r="H902" s="52"/>
      <c r="T902" s="52"/>
    </row>
    <row r="903">
      <c r="B903" s="50"/>
      <c r="C903" s="59"/>
      <c r="H903" s="52"/>
      <c r="T903" s="52"/>
    </row>
    <row r="904">
      <c r="B904" s="50"/>
      <c r="C904" s="59"/>
      <c r="H904" s="52"/>
      <c r="T904" s="52"/>
    </row>
    <row r="905">
      <c r="B905" s="50"/>
      <c r="C905" s="59"/>
      <c r="H905" s="52"/>
      <c r="T905" s="52"/>
    </row>
    <row r="906">
      <c r="B906" s="50"/>
      <c r="C906" s="59"/>
      <c r="H906" s="52"/>
      <c r="T906" s="52"/>
    </row>
    <row r="907">
      <c r="B907" s="50"/>
      <c r="C907" s="59"/>
      <c r="H907" s="52"/>
      <c r="T907" s="52"/>
    </row>
    <row r="908">
      <c r="B908" s="50"/>
      <c r="C908" s="59"/>
      <c r="H908" s="52"/>
      <c r="T908" s="52"/>
    </row>
    <row r="909">
      <c r="B909" s="50"/>
      <c r="C909" s="59"/>
      <c r="H909" s="52"/>
      <c r="T909" s="52"/>
    </row>
    <row r="910">
      <c r="B910" s="50"/>
      <c r="C910" s="59"/>
      <c r="H910" s="52"/>
      <c r="T910" s="52"/>
    </row>
    <row r="911">
      <c r="B911" s="50"/>
      <c r="C911" s="59"/>
      <c r="H911" s="52"/>
      <c r="T911" s="52"/>
    </row>
    <row r="912">
      <c r="B912" s="50"/>
      <c r="C912" s="59"/>
      <c r="H912" s="52"/>
      <c r="T912" s="52"/>
    </row>
    <row r="913">
      <c r="B913" s="50"/>
      <c r="C913" s="59"/>
      <c r="H913" s="52"/>
      <c r="T913" s="52"/>
    </row>
    <row r="914">
      <c r="B914" s="50"/>
      <c r="C914" s="59"/>
      <c r="H914" s="52"/>
      <c r="T914" s="52"/>
    </row>
    <row r="915">
      <c r="B915" s="50"/>
      <c r="C915" s="59"/>
      <c r="H915" s="52"/>
      <c r="T915" s="52"/>
    </row>
    <row r="916">
      <c r="B916" s="50"/>
      <c r="C916" s="59"/>
      <c r="H916" s="52"/>
      <c r="T916" s="52"/>
    </row>
    <row r="917">
      <c r="B917" s="50"/>
      <c r="C917" s="59"/>
      <c r="H917" s="52"/>
      <c r="T917" s="52"/>
    </row>
    <row r="918">
      <c r="B918" s="50"/>
      <c r="C918" s="59"/>
      <c r="H918" s="52"/>
      <c r="T918" s="52"/>
    </row>
    <row r="919">
      <c r="B919" s="50"/>
      <c r="C919" s="59"/>
      <c r="H919" s="52"/>
      <c r="T919" s="52"/>
    </row>
    <row r="920">
      <c r="B920" s="50"/>
      <c r="C920" s="59"/>
      <c r="H920" s="52"/>
      <c r="T920" s="52"/>
    </row>
    <row r="921">
      <c r="B921" s="50"/>
      <c r="C921" s="59"/>
      <c r="H921" s="52"/>
      <c r="T921" s="52"/>
    </row>
    <row r="922">
      <c r="B922" s="50"/>
      <c r="C922" s="59"/>
      <c r="H922" s="52"/>
      <c r="T922" s="52"/>
    </row>
    <row r="923">
      <c r="B923" s="50"/>
      <c r="C923" s="59"/>
      <c r="H923" s="52"/>
      <c r="T923" s="52"/>
    </row>
    <row r="924">
      <c r="B924" s="50"/>
      <c r="C924" s="59"/>
      <c r="H924" s="52"/>
      <c r="T924" s="52"/>
    </row>
    <row r="925">
      <c r="B925" s="50"/>
      <c r="C925" s="59"/>
      <c r="H925" s="52"/>
      <c r="T925" s="52"/>
    </row>
    <row r="926">
      <c r="B926" s="50"/>
      <c r="C926" s="59"/>
      <c r="H926" s="52"/>
      <c r="T926" s="52"/>
    </row>
    <row r="927">
      <c r="B927" s="50"/>
      <c r="C927" s="59"/>
      <c r="H927" s="52"/>
      <c r="T927" s="52"/>
    </row>
    <row r="928">
      <c r="B928" s="50"/>
      <c r="C928" s="59"/>
      <c r="H928" s="52"/>
      <c r="T928" s="52"/>
    </row>
    <row r="929">
      <c r="B929" s="50"/>
      <c r="C929" s="59"/>
      <c r="H929" s="52"/>
      <c r="T929" s="52"/>
    </row>
    <row r="930">
      <c r="B930" s="50"/>
      <c r="C930" s="59"/>
      <c r="H930" s="52"/>
      <c r="T930" s="52"/>
    </row>
    <row r="931">
      <c r="B931" s="50"/>
      <c r="C931" s="59"/>
      <c r="H931" s="52"/>
      <c r="T931" s="52"/>
    </row>
    <row r="932">
      <c r="B932" s="50"/>
      <c r="C932" s="59"/>
      <c r="H932" s="52"/>
      <c r="T932" s="52"/>
    </row>
    <row r="933">
      <c r="B933" s="50"/>
      <c r="C933" s="59"/>
      <c r="H933" s="52"/>
      <c r="T933" s="52"/>
    </row>
    <row r="934">
      <c r="B934" s="50"/>
      <c r="C934" s="59"/>
      <c r="H934" s="52"/>
      <c r="T934" s="52"/>
    </row>
    <row r="935">
      <c r="B935" s="50"/>
      <c r="C935" s="59"/>
      <c r="H935" s="52"/>
      <c r="T935" s="52"/>
    </row>
    <row r="936">
      <c r="B936" s="50"/>
      <c r="C936" s="59"/>
      <c r="H936" s="52"/>
      <c r="T936" s="52"/>
    </row>
    <row r="937">
      <c r="B937" s="50"/>
      <c r="C937" s="59"/>
      <c r="H937" s="52"/>
      <c r="T937" s="52"/>
    </row>
    <row r="938">
      <c r="B938" s="50"/>
      <c r="C938" s="59"/>
      <c r="H938" s="52"/>
      <c r="T938" s="52"/>
    </row>
    <row r="939">
      <c r="B939" s="50"/>
      <c r="C939" s="59"/>
      <c r="H939" s="52"/>
      <c r="T939" s="52"/>
    </row>
    <row r="940">
      <c r="B940" s="50"/>
      <c r="C940" s="59"/>
      <c r="H940" s="52"/>
      <c r="T940" s="52"/>
    </row>
    <row r="941">
      <c r="B941" s="50"/>
      <c r="C941" s="59"/>
      <c r="H941" s="52"/>
      <c r="T941" s="52"/>
    </row>
    <row r="942">
      <c r="B942" s="50"/>
      <c r="C942" s="59"/>
      <c r="H942" s="52"/>
      <c r="T942" s="52"/>
    </row>
    <row r="943">
      <c r="B943" s="50"/>
      <c r="C943" s="59"/>
      <c r="H943" s="52"/>
      <c r="T943" s="52"/>
    </row>
    <row r="944">
      <c r="B944" s="50"/>
      <c r="C944" s="59"/>
      <c r="H944" s="52"/>
      <c r="T944" s="52"/>
    </row>
    <row r="945">
      <c r="B945" s="50"/>
      <c r="C945" s="59"/>
      <c r="H945" s="52"/>
      <c r="T945" s="52"/>
    </row>
    <row r="946">
      <c r="B946" s="50"/>
      <c r="C946" s="59"/>
      <c r="H946" s="52"/>
      <c r="T946" s="52"/>
    </row>
    <row r="947">
      <c r="B947" s="50"/>
      <c r="C947" s="59"/>
      <c r="H947" s="52"/>
      <c r="T947" s="52"/>
    </row>
    <row r="948">
      <c r="B948" s="50"/>
      <c r="C948" s="59"/>
      <c r="H948" s="52"/>
      <c r="T948" s="52"/>
    </row>
    <row r="949">
      <c r="B949" s="50"/>
      <c r="C949" s="59"/>
      <c r="H949" s="52"/>
      <c r="T949" s="52"/>
    </row>
    <row r="950">
      <c r="B950" s="50"/>
      <c r="C950" s="59"/>
      <c r="H950" s="52"/>
      <c r="T950" s="52"/>
    </row>
    <row r="951">
      <c r="B951" s="50"/>
      <c r="C951" s="59"/>
      <c r="H951" s="52"/>
      <c r="T951" s="52"/>
    </row>
    <row r="952">
      <c r="B952" s="50"/>
      <c r="C952" s="59"/>
      <c r="H952" s="52"/>
      <c r="T952" s="52"/>
    </row>
    <row r="953">
      <c r="B953" s="50"/>
      <c r="C953" s="59"/>
      <c r="H953" s="52"/>
      <c r="T953" s="52"/>
    </row>
    <row r="954">
      <c r="B954" s="50"/>
      <c r="C954" s="59"/>
      <c r="H954" s="52"/>
      <c r="T954" s="52"/>
    </row>
    <row r="955">
      <c r="B955" s="50"/>
      <c r="C955" s="59"/>
      <c r="H955" s="52"/>
      <c r="T955" s="52"/>
    </row>
    <row r="956">
      <c r="B956" s="50"/>
      <c r="C956" s="59"/>
      <c r="H956" s="52"/>
      <c r="T956" s="52"/>
    </row>
    <row r="957">
      <c r="B957" s="50"/>
      <c r="C957" s="59"/>
      <c r="H957" s="52"/>
      <c r="T957" s="52"/>
    </row>
    <row r="958">
      <c r="B958" s="50"/>
      <c r="C958" s="59"/>
      <c r="H958" s="52"/>
      <c r="T958" s="52"/>
    </row>
    <row r="959">
      <c r="B959" s="50"/>
      <c r="C959" s="59"/>
      <c r="H959" s="52"/>
      <c r="T959" s="52"/>
    </row>
    <row r="960">
      <c r="B960" s="50"/>
      <c r="C960" s="59"/>
      <c r="H960" s="52"/>
      <c r="T960" s="52"/>
    </row>
    <row r="961">
      <c r="B961" s="50"/>
      <c r="C961" s="59"/>
      <c r="H961" s="52"/>
      <c r="T961" s="52"/>
    </row>
    <row r="962">
      <c r="B962" s="50"/>
      <c r="C962" s="59"/>
      <c r="H962" s="52"/>
      <c r="T962" s="52"/>
    </row>
    <row r="963">
      <c r="B963" s="50"/>
      <c r="C963" s="59"/>
      <c r="H963" s="52"/>
      <c r="T963" s="52"/>
    </row>
    <row r="964">
      <c r="B964" s="50"/>
      <c r="C964" s="59"/>
      <c r="H964" s="52"/>
      <c r="T964" s="52"/>
    </row>
    <row r="965">
      <c r="B965" s="50"/>
      <c r="C965" s="59"/>
      <c r="H965" s="52"/>
      <c r="T965" s="52"/>
    </row>
    <row r="966">
      <c r="B966" s="50"/>
      <c r="C966" s="59"/>
      <c r="H966" s="52"/>
      <c r="T966" s="52"/>
    </row>
    <row r="967">
      <c r="B967" s="50"/>
      <c r="C967" s="59"/>
      <c r="H967" s="52"/>
      <c r="T967" s="52"/>
    </row>
    <row r="968">
      <c r="B968" s="50"/>
      <c r="C968" s="59"/>
      <c r="H968" s="52"/>
      <c r="T968" s="52"/>
    </row>
    <row r="969">
      <c r="B969" s="50"/>
      <c r="C969" s="59"/>
      <c r="H969" s="52"/>
      <c r="T969" s="52"/>
    </row>
    <row r="970">
      <c r="B970" s="50"/>
      <c r="C970" s="59"/>
      <c r="H970" s="52"/>
      <c r="T970" s="52"/>
    </row>
    <row r="971">
      <c r="B971" s="50"/>
      <c r="C971" s="59"/>
      <c r="H971" s="52"/>
      <c r="T971" s="52"/>
    </row>
    <row r="972">
      <c r="B972" s="50"/>
      <c r="C972" s="59"/>
      <c r="H972" s="52"/>
      <c r="T972" s="52"/>
    </row>
    <row r="973">
      <c r="B973" s="50"/>
      <c r="C973" s="59"/>
      <c r="H973" s="52"/>
      <c r="T973" s="52"/>
    </row>
    <row r="974">
      <c r="B974" s="50"/>
      <c r="C974" s="59"/>
      <c r="H974" s="52"/>
      <c r="T974" s="52"/>
    </row>
    <row r="975">
      <c r="B975" s="50"/>
      <c r="C975" s="59"/>
      <c r="H975" s="52"/>
      <c r="T975" s="52"/>
    </row>
    <row r="976">
      <c r="B976" s="50"/>
      <c r="C976" s="59"/>
      <c r="H976" s="52"/>
      <c r="T976" s="52"/>
    </row>
    <row r="977">
      <c r="B977" s="50"/>
      <c r="C977" s="59"/>
      <c r="H977" s="52"/>
      <c r="T977" s="52"/>
    </row>
    <row r="978">
      <c r="B978" s="50"/>
      <c r="C978" s="59"/>
      <c r="H978" s="52"/>
      <c r="T978" s="52"/>
    </row>
    <row r="979">
      <c r="B979" s="50"/>
      <c r="C979" s="59"/>
      <c r="H979" s="52"/>
      <c r="T979" s="52"/>
    </row>
    <row r="980">
      <c r="B980" s="50"/>
      <c r="C980" s="59"/>
      <c r="H980" s="52"/>
      <c r="T980" s="52"/>
    </row>
    <row r="981">
      <c r="B981" s="50"/>
      <c r="C981" s="59"/>
      <c r="H981" s="52"/>
      <c r="T981" s="52"/>
    </row>
    <row r="982">
      <c r="B982" s="50"/>
      <c r="C982" s="59"/>
      <c r="H982" s="52"/>
      <c r="T982" s="52"/>
    </row>
    <row r="983">
      <c r="B983" s="50"/>
      <c r="C983" s="59"/>
      <c r="H983" s="52"/>
      <c r="T983" s="52"/>
    </row>
    <row r="984">
      <c r="B984" s="50"/>
      <c r="C984" s="59"/>
      <c r="H984" s="52"/>
      <c r="T984" s="52"/>
    </row>
    <row r="985">
      <c r="B985" s="50"/>
      <c r="C985" s="59"/>
      <c r="H985" s="52"/>
      <c r="T985" s="52"/>
    </row>
    <row r="986">
      <c r="B986" s="50"/>
      <c r="C986" s="59"/>
      <c r="H986" s="52"/>
      <c r="T986" s="52"/>
    </row>
    <row r="987">
      <c r="B987" s="50"/>
      <c r="C987" s="59"/>
      <c r="H987" s="52"/>
      <c r="T987" s="52"/>
    </row>
    <row r="988">
      <c r="B988" s="50"/>
      <c r="C988" s="59"/>
      <c r="H988" s="52"/>
      <c r="T988" s="52"/>
    </row>
    <row r="989">
      <c r="B989" s="50"/>
      <c r="C989" s="59"/>
      <c r="H989" s="52"/>
      <c r="T989" s="52"/>
    </row>
    <row r="990">
      <c r="B990" s="50"/>
      <c r="C990" s="59"/>
      <c r="H990" s="52"/>
      <c r="T990" s="52"/>
    </row>
    <row r="991">
      <c r="B991" s="50"/>
      <c r="C991" s="59"/>
      <c r="H991" s="52"/>
      <c r="T991" s="52"/>
    </row>
    <row r="992">
      <c r="B992" s="50"/>
      <c r="C992" s="59"/>
      <c r="H992" s="52"/>
      <c r="T992" s="52"/>
    </row>
    <row r="993">
      <c r="B993" s="50"/>
      <c r="C993" s="59"/>
      <c r="H993" s="52"/>
      <c r="T993" s="52"/>
    </row>
    <row r="994">
      <c r="B994" s="50"/>
      <c r="C994" s="59"/>
      <c r="H994" s="52"/>
      <c r="T994" s="52"/>
    </row>
    <row r="995">
      <c r="B995" s="50"/>
      <c r="C995" s="59"/>
      <c r="H995" s="52"/>
      <c r="T995" s="52"/>
    </row>
    <row r="996">
      <c r="B996" s="50"/>
      <c r="C996" s="59"/>
      <c r="H996" s="52"/>
      <c r="T996" s="52"/>
    </row>
    <row r="997">
      <c r="B997" s="50"/>
      <c r="C997" s="59"/>
      <c r="H997" s="52"/>
      <c r="T997" s="52"/>
    </row>
    <row r="998">
      <c r="B998" s="50"/>
      <c r="C998" s="59"/>
      <c r="H998" s="52"/>
      <c r="T998" s="52"/>
    </row>
    <row r="999">
      <c r="B999" s="50"/>
      <c r="C999" s="59"/>
      <c r="H999" s="52"/>
      <c r="T999" s="52"/>
    </row>
    <row r="1000">
      <c r="B1000" s="50"/>
      <c r="C1000" s="59"/>
      <c r="H1000" s="52"/>
      <c r="T1000" s="52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</cols>
  <sheetData>
    <row r="1">
      <c r="C1" s="51" t="s">
        <v>43</v>
      </c>
      <c r="E1" s="42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22" t="s">
        <v>43</v>
      </c>
      <c r="J1" s="20" t="s">
        <v>152</v>
      </c>
      <c r="K1" s="49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</row>
    <row r="2">
      <c r="C2" s="59"/>
      <c r="E2" s="47">
        <v>40934.0</v>
      </c>
      <c r="F2" t="str">
        <f t="shared" ref="F2:F84" si="1">TEXT(E2, "YYYY-MM")</f>
        <v>2012-01</v>
      </c>
      <c r="G2" s="55" t="str">
        <f>IFERROR(__xludf.DUMMYFUNCTION("""COMPUTED_VALUE"""),"2012-01")</f>
        <v>2012-01</v>
      </c>
      <c r="H2" s="52">
        <f>IFERROR(__xludf.DUMMYFUNCTION("""COMPUTED_VALUE"""),1.0)</f>
        <v>1</v>
      </c>
      <c r="I2" s="44">
        <f t="shared" ref="I2:I47" si="2">LOOKUP(G2, $A$1:A$73,$C$1:$C$73)</f>
        <v>0.05957741842</v>
      </c>
      <c r="J2" s="61">
        <v>0.0</v>
      </c>
      <c r="K2" t="str">
        <f>IFERROR(__xludf.DUMMYFUNCTION("""COMPUTED_VALUE"""),"2012-01")</f>
        <v>2012-01</v>
      </c>
      <c r="L2">
        <f>IFERROR(__xludf.DUMMYFUNCTION("""COMPUTED_VALUE"""),0.0)</f>
        <v>0</v>
      </c>
    </row>
    <row r="3">
      <c r="C3" s="59">
        <f t="shared" ref="C3:C73" si="3">B3-$B$74</f>
        <v>0.05957741842</v>
      </c>
      <c r="E3" s="47">
        <v>40951.0</v>
      </c>
      <c r="F3" t="str">
        <f t="shared" si="1"/>
        <v>2012-02</v>
      </c>
      <c r="G3" t="str">
        <f>IFERROR(__xludf.DUMMYFUNCTION("""COMPUTED_VALUE"""),"2012-02")</f>
        <v>2012-02</v>
      </c>
      <c r="H3" s="52">
        <f>IFERROR(__xludf.DUMMYFUNCTION("""COMPUTED_VALUE"""),4.0)</f>
        <v>4</v>
      </c>
      <c r="I3" s="44">
        <f t="shared" si="2"/>
        <v>0.04160998777</v>
      </c>
      <c r="J3" s="61">
        <v>184.0</v>
      </c>
      <c r="K3" t="str">
        <f>IFERROR(__xludf.DUMMYFUNCTION("""COMPUTED_VALUE"""),"2012-02")</f>
        <v>2012-02</v>
      </c>
      <c r="L3">
        <f>IFERROR(__xludf.DUMMYFUNCTION("""COMPUTED_VALUE"""),275.0)</f>
        <v>275</v>
      </c>
    </row>
    <row r="4">
      <c r="C4" s="59">
        <f t="shared" si="3"/>
        <v>0.04160998777</v>
      </c>
      <c r="E4" s="47">
        <v>40961.0</v>
      </c>
      <c r="F4" t="str">
        <f t="shared" si="1"/>
        <v>2012-02</v>
      </c>
      <c r="G4" t="str">
        <f>IFERROR(__xludf.DUMMYFUNCTION("""COMPUTED_VALUE"""),"2012-03")</f>
        <v>2012-03</v>
      </c>
      <c r="H4" s="52">
        <f>IFERROR(__xludf.DUMMYFUNCTION("""COMPUTED_VALUE"""),6.0)</f>
        <v>6</v>
      </c>
      <c r="I4" s="44">
        <f t="shared" si="2"/>
        <v>0.0261462484</v>
      </c>
      <c r="J4" s="61">
        <v>88.0</v>
      </c>
      <c r="K4" t="str">
        <f>IFERROR(__xludf.DUMMYFUNCTION("""COMPUTED_VALUE"""),"2012-03")</f>
        <v>2012-03</v>
      </c>
      <c r="L4">
        <f>IFERROR(__xludf.DUMMYFUNCTION("""COMPUTED_VALUE"""),256.0)</f>
        <v>256</v>
      </c>
    </row>
    <row r="5">
      <c r="C5" s="59">
        <f t="shared" si="3"/>
        <v>0.0261462484</v>
      </c>
      <c r="E5" s="47">
        <v>40961.0</v>
      </c>
      <c r="F5" t="str">
        <f t="shared" si="1"/>
        <v>2012-02</v>
      </c>
      <c r="G5" t="str">
        <f>IFERROR(__xludf.DUMMYFUNCTION("""COMPUTED_VALUE"""),"2012-04")</f>
        <v>2012-04</v>
      </c>
      <c r="H5" s="52">
        <f>IFERROR(__xludf.DUMMYFUNCTION("""COMPUTED_VALUE"""),6.0)</f>
        <v>6</v>
      </c>
      <c r="I5" s="44">
        <f t="shared" si="2"/>
        <v>0.02707601536</v>
      </c>
      <c r="J5" s="61">
        <v>1.0</v>
      </c>
      <c r="K5" t="str">
        <f>IFERROR(__xludf.DUMMYFUNCTION("""COMPUTED_VALUE"""),"2012-04")</f>
        <v>2012-04</v>
      </c>
      <c r="L5">
        <f>IFERROR(__xludf.DUMMYFUNCTION("""COMPUTED_VALUE"""),25.0)</f>
        <v>25</v>
      </c>
    </row>
    <row r="6">
      <c r="C6" s="59">
        <f t="shared" si="3"/>
        <v>0.02707601536</v>
      </c>
      <c r="E6" s="47">
        <v>40964.0</v>
      </c>
      <c r="F6" t="str">
        <f t="shared" si="1"/>
        <v>2012-02</v>
      </c>
      <c r="G6" t="str">
        <f>IFERROR(__xludf.DUMMYFUNCTION("""COMPUTED_VALUE"""),"2012-05")</f>
        <v>2012-05</v>
      </c>
      <c r="H6" s="52">
        <f>IFERROR(__xludf.DUMMYFUNCTION("""COMPUTED_VALUE"""),4.0)</f>
        <v>4</v>
      </c>
      <c r="I6" s="44">
        <f t="shared" si="2"/>
        <v>0.004707656637</v>
      </c>
      <c r="J6" s="61">
        <v>2.0</v>
      </c>
      <c r="K6" t="str">
        <f>IFERROR(__xludf.DUMMYFUNCTION("""COMPUTED_VALUE"""),"2012-05")</f>
        <v>2012-05</v>
      </c>
      <c r="L6">
        <f>IFERROR(__xludf.DUMMYFUNCTION("""COMPUTED_VALUE"""),436.0)</f>
        <v>436</v>
      </c>
    </row>
    <row r="7">
      <c r="C7" s="59">
        <f t="shared" si="3"/>
        <v>0.004707656637</v>
      </c>
      <c r="E7" s="47">
        <v>40969.0</v>
      </c>
      <c r="F7" t="str">
        <f t="shared" si="1"/>
        <v>2012-03</v>
      </c>
      <c r="G7" t="str">
        <f>IFERROR(__xludf.DUMMYFUNCTION("""COMPUTED_VALUE"""),"2012-06")</f>
        <v>2012-06</v>
      </c>
      <c r="H7" s="52">
        <f>IFERROR(__xludf.DUMMYFUNCTION("""COMPUTED_VALUE"""),1.0)</f>
        <v>1</v>
      </c>
      <c r="I7" s="44">
        <f t="shared" si="2"/>
        <v>0.04800663999</v>
      </c>
      <c r="J7" s="61">
        <v>4.0</v>
      </c>
      <c r="K7" t="str">
        <f>IFERROR(__xludf.DUMMYFUNCTION("""COMPUTED_VALUE"""),"2012-06")</f>
        <v>2012-06</v>
      </c>
      <c r="L7">
        <f>IFERROR(__xludf.DUMMYFUNCTION("""COMPUTED_VALUE"""),56.0)</f>
        <v>56</v>
      </c>
    </row>
    <row r="8">
      <c r="C8" s="59">
        <f t="shared" si="3"/>
        <v>0.04800663999</v>
      </c>
      <c r="E8" s="47">
        <v>40973.0</v>
      </c>
      <c r="F8" t="str">
        <f t="shared" si="1"/>
        <v>2012-03</v>
      </c>
      <c r="G8" t="str">
        <f>IFERROR(__xludf.DUMMYFUNCTION("""COMPUTED_VALUE"""),"2012-08")</f>
        <v>2012-08</v>
      </c>
      <c r="H8" s="52">
        <f>IFERROR(__xludf.DUMMYFUNCTION("""COMPUTED_VALUE"""),3.0)</f>
        <v>3</v>
      </c>
      <c r="I8" s="44">
        <f t="shared" si="2"/>
        <v>-0.003925299603</v>
      </c>
      <c r="J8" s="61">
        <v>2.0</v>
      </c>
      <c r="K8" t="str">
        <f>IFERROR(__xludf.DUMMYFUNCTION("""COMPUTED_VALUE"""),"2012-08")</f>
        <v>2012-08</v>
      </c>
      <c r="L8">
        <f>IFERROR(__xludf.DUMMYFUNCTION("""COMPUTED_VALUE"""),350.0)</f>
        <v>350</v>
      </c>
    </row>
    <row r="9">
      <c r="C9" s="59">
        <f t="shared" si="3"/>
        <v>0.04559560351</v>
      </c>
      <c r="E9" s="47">
        <v>40995.0</v>
      </c>
      <c r="F9" t="str">
        <f t="shared" si="1"/>
        <v>2012-03</v>
      </c>
      <c r="G9" t="str">
        <f>IFERROR(__xludf.DUMMYFUNCTION("""COMPUTED_VALUE"""),"2012-09")</f>
        <v>2012-09</v>
      </c>
      <c r="H9" s="52">
        <f>IFERROR(__xludf.DUMMYFUNCTION("""COMPUTED_VALUE"""),4.0)</f>
        <v>4</v>
      </c>
      <c r="I9" s="44">
        <f t="shared" si="2"/>
        <v>0.03778651314</v>
      </c>
      <c r="J9" s="61">
        <v>224.0</v>
      </c>
      <c r="K9" t="str">
        <f>IFERROR(__xludf.DUMMYFUNCTION("""COMPUTED_VALUE"""),"2012-09")</f>
        <v>2012-09</v>
      </c>
      <c r="L9">
        <f>IFERROR(__xludf.DUMMYFUNCTION("""COMPUTED_VALUE"""),145.0)</f>
        <v>145</v>
      </c>
    </row>
    <row r="10">
      <c r="C10" s="59">
        <f t="shared" si="3"/>
        <v>-0.003925299603</v>
      </c>
      <c r="E10" s="47">
        <v>40996.0</v>
      </c>
      <c r="F10" t="str">
        <f t="shared" si="1"/>
        <v>2012-03</v>
      </c>
      <c r="G10" t="str">
        <f>IFERROR(__xludf.DUMMYFUNCTION("""COMPUTED_VALUE"""),"2012-10")</f>
        <v>2012-10</v>
      </c>
      <c r="H10" s="52">
        <f>IFERROR(__xludf.DUMMYFUNCTION("""COMPUTED_VALUE"""),1.0)</f>
        <v>1</v>
      </c>
      <c r="I10" s="44">
        <f t="shared" si="2"/>
        <v>0.03135891303</v>
      </c>
      <c r="J10" s="61">
        <v>17.0</v>
      </c>
      <c r="K10" t="str">
        <f>IFERROR(__xludf.DUMMYFUNCTION("""COMPUTED_VALUE"""),"2012-10")</f>
        <v>2012-10</v>
      </c>
      <c r="L10">
        <f>IFERROR(__xludf.DUMMYFUNCTION("""COMPUTED_VALUE"""),61.0)</f>
        <v>61</v>
      </c>
    </row>
    <row r="11">
      <c r="C11" s="59">
        <f t="shared" si="3"/>
        <v>0.03778651314</v>
      </c>
      <c r="E11" s="47">
        <v>40998.0</v>
      </c>
      <c r="F11" t="str">
        <f t="shared" si="1"/>
        <v>2012-03</v>
      </c>
      <c r="G11" t="str">
        <f>IFERROR(__xludf.DUMMYFUNCTION("""COMPUTED_VALUE"""),"2012-11")</f>
        <v>2012-11</v>
      </c>
      <c r="H11" s="52">
        <f>IFERROR(__xludf.DUMMYFUNCTION("""COMPUTED_VALUE"""),1.0)</f>
        <v>1</v>
      </c>
      <c r="I11" s="44">
        <f t="shared" si="2"/>
        <v>0.04530210005</v>
      </c>
      <c r="J11" s="61">
        <v>7.0</v>
      </c>
      <c r="K11" t="str">
        <f>IFERROR(__xludf.DUMMYFUNCTION("""COMPUTED_VALUE"""),"2012-11")</f>
        <v>2012-11</v>
      </c>
      <c r="L11">
        <f>IFERROR(__xludf.DUMMYFUNCTION("""COMPUTED_VALUE"""),19.0)</f>
        <v>19</v>
      </c>
    </row>
    <row r="12">
      <c r="C12" s="59">
        <f t="shared" si="3"/>
        <v>0.03135891303</v>
      </c>
      <c r="E12" s="47">
        <v>40998.0</v>
      </c>
      <c r="F12" t="str">
        <f t="shared" si="1"/>
        <v>2012-03</v>
      </c>
      <c r="G12" t="str">
        <f>IFERROR(__xludf.DUMMYFUNCTION("""COMPUTED_VALUE"""),"2013-01")</f>
        <v>2013-01</v>
      </c>
      <c r="H12" s="52">
        <f>IFERROR(__xludf.DUMMYFUNCTION("""COMPUTED_VALUE"""),1.0)</f>
        <v>1</v>
      </c>
      <c r="I12" s="44">
        <f t="shared" si="2"/>
        <v>0.03425446808</v>
      </c>
      <c r="J12" s="61">
        <v>2.0</v>
      </c>
      <c r="K12" t="str">
        <f>IFERROR(__xludf.DUMMYFUNCTION("""COMPUTED_VALUE"""),"2013-01")</f>
        <v>2013-01</v>
      </c>
      <c r="L12">
        <f>IFERROR(__xludf.DUMMYFUNCTION("""COMPUTED_VALUE"""),192.0)</f>
        <v>192</v>
      </c>
    </row>
    <row r="13">
      <c r="C13" s="59">
        <f t="shared" si="3"/>
        <v>0.04530210005</v>
      </c>
      <c r="E13" s="47">
        <v>41000.0</v>
      </c>
      <c r="F13" t="str">
        <f t="shared" si="1"/>
        <v>2012-04</v>
      </c>
      <c r="G13" t="str">
        <f>IFERROR(__xludf.DUMMYFUNCTION("""COMPUTED_VALUE"""),"2013-02")</f>
        <v>2013-02</v>
      </c>
      <c r="H13" s="52">
        <f>IFERROR(__xludf.DUMMYFUNCTION("""COMPUTED_VALUE"""),1.0)</f>
        <v>1</v>
      </c>
      <c r="I13" s="44">
        <f t="shared" si="2"/>
        <v>-0.0004293549005</v>
      </c>
      <c r="J13" s="61">
        <v>3.0</v>
      </c>
      <c r="K13" t="str">
        <f>IFERROR(__xludf.DUMMYFUNCTION("""COMPUTED_VALUE"""),"2013-02")</f>
        <v>2013-02</v>
      </c>
      <c r="L13">
        <f>IFERROR(__xludf.DUMMYFUNCTION("""COMPUTED_VALUE"""),18.0)</f>
        <v>18</v>
      </c>
    </row>
    <row r="14">
      <c r="C14" s="59">
        <f t="shared" si="3"/>
        <v>0.0339547525</v>
      </c>
      <c r="E14" s="47">
        <v>41003.0</v>
      </c>
      <c r="F14" t="str">
        <f t="shared" si="1"/>
        <v>2012-04</v>
      </c>
      <c r="G14" t="str">
        <f>IFERROR(__xludf.DUMMYFUNCTION("""COMPUTED_VALUE"""),"2013-03")</f>
        <v>2013-03</v>
      </c>
      <c r="H14" s="52">
        <f>IFERROR(__xludf.DUMMYFUNCTION("""COMPUTED_VALUE"""),2.0)</f>
        <v>2</v>
      </c>
      <c r="I14" s="44">
        <f t="shared" si="2"/>
        <v>0.03205605468</v>
      </c>
      <c r="J14" s="61">
        <v>1.0</v>
      </c>
      <c r="K14" t="str">
        <f>IFERROR(__xludf.DUMMYFUNCTION("""COMPUTED_VALUE"""),"2013-03")</f>
        <v>2013-03</v>
      </c>
      <c r="L14">
        <f>IFERROR(__xludf.DUMMYFUNCTION("""COMPUTED_VALUE"""),64.0)</f>
        <v>64</v>
      </c>
    </row>
    <row r="15">
      <c r="C15" s="59">
        <f t="shared" si="3"/>
        <v>0.03425446808</v>
      </c>
      <c r="E15" s="47">
        <v>41004.0</v>
      </c>
      <c r="F15" t="str">
        <f t="shared" si="1"/>
        <v>2012-04</v>
      </c>
      <c r="G15" t="str">
        <f>IFERROR(__xludf.DUMMYFUNCTION("""COMPUTED_VALUE"""),"2013-05")</f>
        <v>2013-05</v>
      </c>
      <c r="H15" s="52">
        <f>IFERROR(__xludf.DUMMYFUNCTION("""COMPUTED_VALUE"""),1.0)</f>
        <v>1</v>
      </c>
      <c r="I15" s="44">
        <f t="shared" si="2"/>
        <v>0.01013209144</v>
      </c>
      <c r="J15" s="61">
        <v>2.0</v>
      </c>
      <c r="K15" t="str">
        <f>IFERROR(__xludf.DUMMYFUNCTION("""COMPUTED_VALUE"""),"2013-05")</f>
        <v>2013-05</v>
      </c>
      <c r="L15">
        <f>IFERROR(__xludf.DUMMYFUNCTION("""COMPUTED_VALUE"""),188.0)</f>
        <v>188</v>
      </c>
    </row>
    <row r="16">
      <c r="C16" s="59">
        <f t="shared" si="3"/>
        <v>-0.0004293549005</v>
      </c>
      <c r="E16" s="47">
        <v>41009.0</v>
      </c>
      <c r="F16" t="str">
        <f t="shared" si="1"/>
        <v>2012-04</v>
      </c>
      <c r="G16" t="str">
        <f>IFERROR(__xludf.DUMMYFUNCTION("""COMPUTED_VALUE"""),"2013-06")</f>
        <v>2013-06</v>
      </c>
      <c r="H16" s="52">
        <f>IFERROR(__xludf.DUMMYFUNCTION("""COMPUTED_VALUE"""),2.0)</f>
        <v>2</v>
      </c>
      <c r="I16" s="44">
        <f t="shared" si="2"/>
        <v>-0.03542623075</v>
      </c>
      <c r="J16" s="61">
        <v>11.0</v>
      </c>
      <c r="K16" t="str">
        <f>IFERROR(__xludf.DUMMYFUNCTION("""COMPUTED_VALUE"""),"2013-06")</f>
        <v>2013-06</v>
      </c>
      <c r="L16">
        <f>IFERROR(__xludf.DUMMYFUNCTION("""COMPUTED_VALUE"""),15.0)</f>
        <v>15</v>
      </c>
    </row>
    <row r="17">
      <c r="C17" s="59">
        <f t="shared" si="3"/>
        <v>0.03205605468</v>
      </c>
      <c r="E17" s="47">
        <v>41012.0</v>
      </c>
      <c r="F17" t="str">
        <f t="shared" si="1"/>
        <v>2012-04</v>
      </c>
      <c r="G17" t="str">
        <f>IFERROR(__xludf.DUMMYFUNCTION("""COMPUTED_VALUE"""),"2013-07")</f>
        <v>2013-07</v>
      </c>
      <c r="H17" s="52">
        <f>IFERROR(__xludf.DUMMYFUNCTION("""COMPUTED_VALUE"""),1.0)</f>
        <v>1</v>
      </c>
      <c r="I17" s="44">
        <f t="shared" si="2"/>
        <v>-0.01872885801</v>
      </c>
      <c r="J17" s="61">
        <v>2.0</v>
      </c>
      <c r="K17" t="str">
        <f>IFERROR(__xludf.DUMMYFUNCTION("""COMPUTED_VALUE"""),"2013-07")</f>
        <v>2013-07</v>
      </c>
      <c r="L17">
        <f>IFERROR(__xludf.DUMMYFUNCTION("""COMPUTED_VALUE"""),3.0)</f>
        <v>3</v>
      </c>
    </row>
    <row r="18">
      <c r="C18" s="59">
        <f t="shared" si="3"/>
        <v>0.01772992606</v>
      </c>
      <c r="E18" s="47">
        <v>41018.0</v>
      </c>
      <c r="F18" t="str">
        <f t="shared" si="1"/>
        <v>2012-04</v>
      </c>
      <c r="G18" t="str">
        <f>IFERROR(__xludf.DUMMYFUNCTION("""COMPUTED_VALUE"""),"2013-09")</f>
        <v>2013-09</v>
      </c>
      <c r="H18" s="52">
        <f>IFERROR(__xludf.DUMMYFUNCTION("""COMPUTED_VALUE"""),2.0)</f>
        <v>2</v>
      </c>
      <c r="I18" s="44">
        <f t="shared" si="2"/>
        <v>0.02851837425</v>
      </c>
      <c r="J18" s="61">
        <v>6.0</v>
      </c>
      <c r="K18" t="str">
        <f>IFERROR(__xludf.DUMMYFUNCTION("""COMPUTED_VALUE"""),"2013-09")</f>
        <v>2013-09</v>
      </c>
      <c r="L18">
        <f>IFERROR(__xludf.DUMMYFUNCTION("""COMPUTED_VALUE"""),6.0)</f>
        <v>6</v>
      </c>
    </row>
    <row r="19">
      <c r="C19" s="59">
        <f t="shared" si="3"/>
        <v>0.01013209144</v>
      </c>
      <c r="E19" s="47">
        <v>41033.0</v>
      </c>
      <c r="F19" t="str">
        <f t="shared" si="1"/>
        <v>2012-05</v>
      </c>
      <c r="G19" t="str">
        <f>IFERROR(__xludf.DUMMYFUNCTION("""COMPUTED_VALUE"""),"2013-10")</f>
        <v>2013-10</v>
      </c>
      <c r="H19" s="52">
        <f>IFERROR(__xludf.DUMMYFUNCTION("""COMPUTED_VALUE"""),1.0)</f>
        <v>1</v>
      </c>
      <c r="I19" s="44">
        <f t="shared" si="2"/>
        <v>-0.02451623153</v>
      </c>
      <c r="J19" s="61">
        <v>291.0</v>
      </c>
      <c r="K19" t="str">
        <f>IFERROR(__xludf.DUMMYFUNCTION("""COMPUTED_VALUE"""),"2013-10")</f>
        <v>2013-10</v>
      </c>
      <c r="L19">
        <f>IFERROR(__xludf.DUMMYFUNCTION("""COMPUTED_VALUE"""),5.0)</f>
        <v>5</v>
      </c>
    </row>
    <row r="20">
      <c r="C20" s="59">
        <f t="shared" si="3"/>
        <v>-0.03542623075</v>
      </c>
      <c r="E20" s="47">
        <v>41039.0</v>
      </c>
      <c r="F20" t="str">
        <f t="shared" si="1"/>
        <v>2012-05</v>
      </c>
      <c r="G20" t="str">
        <f>IFERROR(__xludf.DUMMYFUNCTION("""COMPUTED_VALUE"""),"2013-12")</f>
        <v>2013-12</v>
      </c>
      <c r="H20" s="52">
        <f>IFERROR(__xludf.DUMMYFUNCTION("""COMPUTED_VALUE"""),1.0)</f>
        <v>1</v>
      </c>
      <c r="I20" s="44">
        <f t="shared" si="2"/>
        <v>-0.02867318399</v>
      </c>
      <c r="J20" s="61">
        <v>35.0</v>
      </c>
      <c r="K20" t="str">
        <f>IFERROR(__xludf.DUMMYFUNCTION("""COMPUTED_VALUE"""),"2013-12")</f>
        <v>2013-12</v>
      </c>
      <c r="L20">
        <f>IFERROR(__xludf.DUMMYFUNCTION("""COMPUTED_VALUE"""),99.0)</f>
        <v>99</v>
      </c>
    </row>
    <row r="21">
      <c r="C21" s="59">
        <f t="shared" si="3"/>
        <v>-0.01872885801</v>
      </c>
      <c r="E21" s="47">
        <v>41051.0</v>
      </c>
      <c r="F21" t="str">
        <f t="shared" si="1"/>
        <v>2012-05</v>
      </c>
      <c r="G21" t="str">
        <f>IFERROR(__xludf.DUMMYFUNCTION("""COMPUTED_VALUE"""),"2014-01")</f>
        <v>2014-01</v>
      </c>
      <c r="H21" s="52">
        <f>IFERROR(__xludf.DUMMYFUNCTION("""COMPUTED_VALUE"""),1.0)</f>
        <v>1</v>
      </c>
      <c r="I21" s="44">
        <f t="shared" si="2"/>
        <v>-0.006130322802</v>
      </c>
      <c r="J21" s="61">
        <v>51.0</v>
      </c>
      <c r="K21" t="str">
        <f>IFERROR(__xludf.DUMMYFUNCTION("""COMPUTED_VALUE"""),"2014-01")</f>
        <v>2014-01</v>
      </c>
      <c r="L21">
        <f>IFERROR(__xludf.DUMMYFUNCTION("""COMPUTED_VALUE"""),7.0)</f>
        <v>7</v>
      </c>
    </row>
    <row r="22">
      <c r="C22" s="59">
        <f t="shared" si="3"/>
        <v>0.04008083528</v>
      </c>
      <c r="E22" s="47">
        <v>41059.0</v>
      </c>
      <c r="F22" t="str">
        <f t="shared" si="1"/>
        <v>2012-05</v>
      </c>
      <c r="G22" t="str">
        <f>IFERROR(__xludf.DUMMYFUNCTION("""COMPUTED_VALUE"""),"2014-04")</f>
        <v>2014-04</v>
      </c>
      <c r="H22" s="52">
        <f>IFERROR(__xludf.DUMMYFUNCTION("""COMPUTED_VALUE"""),1.0)</f>
        <v>1</v>
      </c>
      <c r="I22" s="44">
        <f t="shared" si="2"/>
        <v>-0.02441709733</v>
      </c>
      <c r="J22" s="61">
        <v>59.0</v>
      </c>
      <c r="K22" t="str">
        <f>IFERROR(__xludf.DUMMYFUNCTION("""COMPUTED_VALUE"""),"2014-04")</f>
        <v>2014-04</v>
      </c>
      <c r="L22">
        <f>IFERROR(__xludf.DUMMYFUNCTION("""COMPUTED_VALUE"""),33.0)</f>
        <v>33</v>
      </c>
    </row>
    <row r="23">
      <c r="C23" s="59">
        <f t="shared" si="3"/>
        <v>0.02851837425</v>
      </c>
      <c r="E23" s="47">
        <v>41076.0</v>
      </c>
      <c r="F23" t="str">
        <f t="shared" si="1"/>
        <v>2012-06</v>
      </c>
      <c r="G23" t="str">
        <f>IFERROR(__xludf.DUMMYFUNCTION("""COMPUTED_VALUE"""),"2014-06")</f>
        <v>2014-06</v>
      </c>
      <c r="H23" s="52">
        <f>IFERROR(__xludf.DUMMYFUNCTION("""COMPUTED_VALUE"""),1.0)</f>
        <v>1</v>
      </c>
      <c r="I23" s="44">
        <f t="shared" si="2"/>
        <v>-0.04005017101</v>
      </c>
      <c r="J23" s="61">
        <v>56.0</v>
      </c>
      <c r="K23" t="str">
        <f>IFERROR(__xludf.DUMMYFUNCTION("""COMPUTED_VALUE"""),"2014-06")</f>
        <v>2014-06</v>
      </c>
      <c r="L23">
        <f>IFERROR(__xludf.DUMMYFUNCTION("""COMPUTED_VALUE"""),48.0)</f>
        <v>48</v>
      </c>
    </row>
    <row r="24">
      <c r="C24" s="59">
        <f t="shared" si="3"/>
        <v>-0.02451623153</v>
      </c>
      <c r="E24" s="47">
        <v>41131.0</v>
      </c>
      <c r="F24" t="str">
        <f t="shared" si="1"/>
        <v>2012-08</v>
      </c>
      <c r="G24" t="str">
        <f>IFERROR(__xludf.DUMMYFUNCTION("""COMPUTED_VALUE"""),"2014-11")</f>
        <v>2014-11</v>
      </c>
      <c r="H24" s="52">
        <f>IFERROR(__xludf.DUMMYFUNCTION("""COMPUTED_VALUE"""),1.0)</f>
        <v>1</v>
      </c>
      <c r="I24" s="44">
        <f t="shared" si="2"/>
        <v>0.006239752663</v>
      </c>
      <c r="J24" s="61">
        <v>276.0</v>
      </c>
      <c r="K24" t="str">
        <f>IFERROR(__xludf.DUMMYFUNCTION("""COMPUTED_VALUE"""),"2014-11")</f>
        <v>2014-11</v>
      </c>
      <c r="L24">
        <f>IFERROR(__xludf.DUMMYFUNCTION("""COMPUTED_VALUE"""),18.0)</f>
        <v>18</v>
      </c>
    </row>
    <row r="25">
      <c r="C25" s="59">
        <f t="shared" si="3"/>
        <v>-0.03782604041</v>
      </c>
      <c r="E25" s="47">
        <v>41138.0</v>
      </c>
      <c r="F25" t="str">
        <f t="shared" si="1"/>
        <v>2012-08</v>
      </c>
      <c r="G25" t="str">
        <f>IFERROR(__xludf.DUMMYFUNCTION("""COMPUTED_VALUE"""),"2015-02")</f>
        <v>2015-02</v>
      </c>
      <c r="H25" s="52">
        <f>IFERROR(__xludf.DUMMYFUNCTION("""COMPUTED_VALUE"""),2.0)</f>
        <v>2</v>
      </c>
      <c r="I25" s="44">
        <f t="shared" si="2"/>
        <v>0.004897549112</v>
      </c>
      <c r="J25" s="61">
        <v>49.0</v>
      </c>
      <c r="K25" t="str">
        <f>IFERROR(__xludf.DUMMYFUNCTION("""COMPUTED_VALUE"""),"2015-02")</f>
        <v>2015-02</v>
      </c>
      <c r="L25">
        <f>IFERROR(__xludf.DUMMYFUNCTION("""COMPUTED_VALUE"""),413.0)</f>
        <v>413</v>
      </c>
    </row>
    <row r="26">
      <c r="C26" s="59">
        <f t="shared" si="3"/>
        <v>-0.02867318399</v>
      </c>
      <c r="E26" s="47">
        <v>41150.0</v>
      </c>
      <c r="F26" t="str">
        <f t="shared" si="1"/>
        <v>2012-08</v>
      </c>
      <c r="G26" t="str">
        <f>IFERROR(__xludf.DUMMYFUNCTION("""COMPUTED_VALUE"""),"2015-03")</f>
        <v>2015-03</v>
      </c>
      <c r="H26" s="52">
        <f>IFERROR(__xludf.DUMMYFUNCTION("""COMPUTED_VALUE"""),2.0)</f>
        <v>2</v>
      </c>
      <c r="I26" s="44">
        <f t="shared" si="2"/>
        <v>-0.003985703987</v>
      </c>
      <c r="J26" s="61">
        <v>25.0</v>
      </c>
      <c r="K26" t="str">
        <f>IFERROR(__xludf.DUMMYFUNCTION("""COMPUTED_VALUE"""),"2015-03")</f>
        <v>2015-03</v>
      </c>
      <c r="L26">
        <f>IFERROR(__xludf.DUMMYFUNCTION("""COMPUTED_VALUE"""),44.0)</f>
        <v>44</v>
      </c>
    </row>
    <row r="27">
      <c r="C27" s="59">
        <f t="shared" si="3"/>
        <v>-0.006130322802</v>
      </c>
      <c r="E27" s="47">
        <v>41154.0</v>
      </c>
      <c r="F27" t="str">
        <f t="shared" si="1"/>
        <v>2012-09</v>
      </c>
      <c r="G27" t="str">
        <f>IFERROR(__xludf.DUMMYFUNCTION("""COMPUTED_VALUE"""),"2015-06")</f>
        <v>2015-06</v>
      </c>
      <c r="H27" s="52">
        <f>IFERROR(__xludf.DUMMYFUNCTION("""COMPUTED_VALUE"""),3.0)</f>
        <v>3</v>
      </c>
      <c r="I27" s="44">
        <f t="shared" si="2"/>
        <v>-0.0002354004809</v>
      </c>
      <c r="J27" s="61">
        <v>49.0</v>
      </c>
      <c r="K27" t="str">
        <f>IFERROR(__xludf.DUMMYFUNCTION("""COMPUTED_VALUE"""),"2015-06")</f>
        <v>2015-06</v>
      </c>
      <c r="L27">
        <f>IFERROR(__xludf.DUMMYFUNCTION("""COMPUTED_VALUE"""),154.0)</f>
        <v>154</v>
      </c>
    </row>
    <row r="28">
      <c r="C28" s="59">
        <f t="shared" si="3"/>
        <v>-0.0002534324697</v>
      </c>
      <c r="E28" s="47">
        <v>41178.0</v>
      </c>
      <c r="F28" t="str">
        <f t="shared" si="1"/>
        <v>2012-09</v>
      </c>
      <c r="G28" t="str">
        <f>IFERROR(__xludf.DUMMYFUNCTION("""COMPUTED_VALUE"""),"2015-07")</f>
        <v>2015-07</v>
      </c>
      <c r="H28" s="52">
        <f>IFERROR(__xludf.DUMMYFUNCTION("""COMPUTED_VALUE"""),1.0)</f>
        <v>1</v>
      </c>
      <c r="I28" s="44">
        <f t="shared" si="2"/>
        <v>0.01426196306</v>
      </c>
      <c r="J28" s="61">
        <v>68.0</v>
      </c>
      <c r="K28" t="str">
        <f>IFERROR(__xludf.DUMMYFUNCTION("""COMPUTED_VALUE"""),"2015-07")</f>
        <v>2015-07</v>
      </c>
      <c r="L28">
        <f>IFERROR(__xludf.DUMMYFUNCTION("""COMPUTED_VALUE"""),8.0)</f>
        <v>8</v>
      </c>
    </row>
    <row r="29">
      <c r="C29" s="59">
        <f t="shared" si="3"/>
        <v>-0.05604106812</v>
      </c>
      <c r="E29" s="47">
        <v>41179.0</v>
      </c>
      <c r="F29" t="str">
        <f t="shared" si="1"/>
        <v>2012-09</v>
      </c>
      <c r="G29" t="str">
        <f>IFERROR(__xludf.DUMMYFUNCTION("""COMPUTED_VALUE"""),"2015-08")</f>
        <v>2015-08</v>
      </c>
      <c r="H29" s="52">
        <f>IFERROR(__xludf.DUMMYFUNCTION("""COMPUTED_VALUE"""),1.0)</f>
        <v>1</v>
      </c>
      <c r="I29" s="44">
        <f t="shared" si="2"/>
        <v>-0.01216092007</v>
      </c>
      <c r="J29" s="61">
        <v>26.0</v>
      </c>
      <c r="K29" t="str">
        <f>IFERROR(__xludf.DUMMYFUNCTION("""COMPUTED_VALUE"""),"2015-08")</f>
        <v>2015-08</v>
      </c>
      <c r="L29">
        <f>IFERROR(__xludf.DUMMYFUNCTION("""COMPUTED_VALUE"""),33.0)</f>
        <v>33</v>
      </c>
    </row>
    <row r="30">
      <c r="C30" s="59">
        <f t="shared" si="3"/>
        <v>-0.02441709733</v>
      </c>
      <c r="E30" s="47">
        <v>41179.0</v>
      </c>
      <c r="F30" t="str">
        <f t="shared" si="1"/>
        <v>2012-09</v>
      </c>
      <c r="G30" t="str">
        <f>IFERROR(__xludf.DUMMYFUNCTION("""COMPUTED_VALUE"""),"2015-12")</f>
        <v>2015-12</v>
      </c>
      <c r="H30" s="52">
        <f>IFERROR(__xludf.DUMMYFUNCTION("""COMPUTED_VALUE"""),1.0)</f>
        <v>1</v>
      </c>
      <c r="I30" s="44">
        <f t="shared" si="2"/>
        <v>-0.02197273297</v>
      </c>
      <c r="J30" s="61">
        <v>2.0</v>
      </c>
      <c r="K30" t="str">
        <f>IFERROR(__xludf.DUMMYFUNCTION("""COMPUTED_VALUE"""),"2015-12")</f>
        <v>2015-12</v>
      </c>
      <c r="L30">
        <f>IFERROR(__xludf.DUMMYFUNCTION("""COMPUTED_VALUE"""),65.0)</f>
        <v>65</v>
      </c>
    </row>
    <row r="31">
      <c r="C31" s="59">
        <f t="shared" si="3"/>
        <v>-0.01950430173</v>
      </c>
      <c r="E31" s="47">
        <v>41213.0</v>
      </c>
      <c r="F31" t="str">
        <f t="shared" si="1"/>
        <v>2012-10</v>
      </c>
      <c r="G31" t="str">
        <f>IFERROR(__xludf.DUMMYFUNCTION("""COMPUTED_VALUE"""),"2016-02")</f>
        <v>2016-02</v>
      </c>
      <c r="H31" s="52">
        <f>IFERROR(__xludf.DUMMYFUNCTION("""COMPUTED_VALUE"""),1.0)</f>
        <v>1</v>
      </c>
      <c r="I31" s="44">
        <f t="shared" si="2"/>
        <v>-0.01285678068</v>
      </c>
      <c r="J31" s="61">
        <v>61.0</v>
      </c>
      <c r="K31" t="str">
        <f>IFERROR(__xludf.DUMMYFUNCTION("""COMPUTED_VALUE"""),"2016-02")</f>
        <v>2016-02</v>
      </c>
      <c r="L31">
        <f>IFERROR(__xludf.DUMMYFUNCTION("""COMPUTED_VALUE"""),27.0)</f>
        <v>27</v>
      </c>
    </row>
    <row r="32">
      <c r="C32" s="59">
        <f t="shared" si="3"/>
        <v>-0.04005017101</v>
      </c>
      <c r="E32" s="47">
        <v>41219.0</v>
      </c>
      <c r="F32" t="str">
        <f t="shared" si="1"/>
        <v>2012-11</v>
      </c>
      <c r="G32" t="str">
        <f>IFERROR(__xludf.DUMMYFUNCTION("""COMPUTED_VALUE"""),"2016-03")</f>
        <v>2016-03</v>
      </c>
      <c r="H32" s="52">
        <f>IFERROR(__xludf.DUMMYFUNCTION("""COMPUTED_VALUE"""),3.0)</f>
        <v>3</v>
      </c>
      <c r="I32" s="44">
        <f t="shared" si="2"/>
        <v>-0.03048780696</v>
      </c>
      <c r="J32" s="61">
        <v>19.0</v>
      </c>
      <c r="K32" t="str">
        <f>IFERROR(__xludf.DUMMYFUNCTION("""COMPUTED_VALUE"""),"2016-03")</f>
        <v>2016-03</v>
      </c>
      <c r="L32">
        <f>IFERROR(__xludf.DUMMYFUNCTION("""COMPUTED_VALUE"""),54.0)</f>
        <v>54</v>
      </c>
    </row>
    <row r="33">
      <c r="C33" s="59">
        <f t="shared" si="3"/>
        <v>-0.01355822689</v>
      </c>
      <c r="E33" s="47">
        <v>41284.0</v>
      </c>
      <c r="F33" t="str">
        <f t="shared" si="1"/>
        <v>2013-01</v>
      </c>
      <c r="G33" t="str">
        <f>IFERROR(__xludf.DUMMYFUNCTION("""COMPUTED_VALUE"""),"2016-04")</f>
        <v>2016-04</v>
      </c>
      <c r="H33" s="52">
        <f>IFERROR(__xludf.DUMMYFUNCTION("""COMPUTED_VALUE"""),3.0)</f>
        <v>3</v>
      </c>
      <c r="I33" s="44">
        <f t="shared" si="2"/>
        <v>-0.01211982487</v>
      </c>
      <c r="J33" s="61">
        <v>192.0</v>
      </c>
      <c r="K33" t="str">
        <f>IFERROR(__xludf.DUMMYFUNCTION("""COMPUTED_VALUE"""),"2016-04")</f>
        <v>2016-04</v>
      </c>
      <c r="L33">
        <f>IFERROR(__xludf.DUMMYFUNCTION("""COMPUTED_VALUE"""),66.0)</f>
        <v>66</v>
      </c>
    </row>
    <row r="34">
      <c r="C34" s="59">
        <f t="shared" si="3"/>
        <v>-0.01895273836</v>
      </c>
      <c r="E34" s="47">
        <v>41355.0</v>
      </c>
      <c r="F34" t="str">
        <f t="shared" si="1"/>
        <v>2013-03</v>
      </c>
      <c r="G34" t="str">
        <f>IFERROR(__xludf.DUMMYFUNCTION("""COMPUTED_VALUE"""),"2016-08")</f>
        <v>2016-08</v>
      </c>
      <c r="H34" s="52">
        <f>IFERROR(__xludf.DUMMYFUNCTION("""COMPUTED_VALUE"""),1.0)</f>
        <v>1</v>
      </c>
      <c r="I34" s="44">
        <f t="shared" si="2"/>
        <v>0.01320774154</v>
      </c>
      <c r="J34" s="61">
        <v>14.0</v>
      </c>
      <c r="K34" t="str">
        <f>IFERROR(__xludf.DUMMYFUNCTION("""COMPUTED_VALUE"""),"2016-08")</f>
        <v>2016-08</v>
      </c>
      <c r="L34">
        <f>IFERROR(__xludf.DUMMYFUNCTION("""COMPUTED_VALUE"""),244.0)</f>
        <v>244</v>
      </c>
    </row>
    <row r="35">
      <c r="C35" s="59">
        <f t="shared" si="3"/>
        <v>-0.03848623582</v>
      </c>
      <c r="E35" s="47">
        <v>41313.0</v>
      </c>
      <c r="F35" t="str">
        <f t="shared" si="1"/>
        <v>2013-02</v>
      </c>
      <c r="G35" t="str">
        <f>IFERROR(__xludf.DUMMYFUNCTION("""COMPUTED_VALUE"""),"2016-09")</f>
        <v>2016-09</v>
      </c>
      <c r="H35" s="52">
        <f>IFERROR(__xludf.DUMMYFUNCTION("""COMPUTED_VALUE"""),1.0)</f>
        <v>1</v>
      </c>
      <c r="I35" s="44">
        <f t="shared" si="2"/>
        <v>0.02541968025</v>
      </c>
      <c r="J35" s="61">
        <v>18.0</v>
      </c>
      <c r="K35" t="str">
        <f>IFERROR(__xludf.DUMMYFUNCTION("""COMPUTED_VALUE"""),"2016-09")</f>
        <v>2016-09</v>
      </c>
      <c r="L35">
        <f>IFERROR(__xludf.DUMMYFUNCTION("""COMPUTED_VALUE"""),33.0)</f>
        <v>33</v>
      </c>
    </row>
    <row r="36">
      <c r="C36" s="59">
        <f t="shared" si="3"/>
        <v>-0.03230883769</v>
      </c>
      <c r="E36" s="47">
        <v>41362.0</v>
      </c>
      <c r="F36" t="str">
        <f t="shared" si="1"/>
        <v>2013-03</v>
      </c>
      <c r="G36" t="str">
        <f>IFERROR(__xludf.DUMMYFUNCTION("""COMPUTED_VALUE"""),"2016-10")</f>
        <v>2016-10</v>
      </c>
      <c r="H36" s="52">
        <f>IFERROR(__xludf.DUMMYFUNCTION("""COMPUTED_VALUE"""),1.0)</f>
        <v>1</v>
      </c>
      <c r="I36" s="44">
        <f t="shared" si="2"/>
        <v>-0.002792136027</v>
      </c>
      <c r="J36" s="61">
        <v>50.0</v>
      </c>
      <c r="K36" t="str">
        <f>IFERROR(__xludf.DUMMYFUNCTION("""COMPUTED_VALUE"""),"2016-10")</f>
        <v>2016-10</v>
      </c>
      <c r="L36">
        <f>IFERROR(__xludf.DUMMYFUNCTION("""COMPUTED_VALUE"""),5.0)</f>
        <v>5</v>
      </c>
    </row>
    <row r="37">
      <c r="C37" s="59">
        <f t="shared" si="3"/>
        <v>0.006239752663</v>
      </c>
      <c r="E37" s="47">
        <v>41422.0</v>
      </c>
      <c r="F37" t="str">
        <f t="shared" si="1"/>
        <v>2013-05</v>
      </c>
      <c r="G37" t="str">
        <f>IFERROR(__xludf.DUMMYFUNCTION("""COMPUTED_VALUE"""),"2017-01")</f>
        <v>2017-01</v>
      </c>
      <c r="H37" s="52">
        <f>IFERROR(__xludf.DUMMYFUNCTION("""COMPUTED_VALUE"""),3.0)</f>
        <v>3</v>
      </c>
      <c r="I37" s="44">
        <f t="shared" si="2"/>
        <v>-0.02172099326</v>
      </c>
      <c r="J37" s="61">
        <v>188.0</v>
      </c>
      <c r="K37" t="str">
        <f>IFERROR(__xludf.DUMMYFUNCTION("""COMPUTED_VALUE"""),"2017-01")</f>
        <v>2017-01</v>
      </c>
      <c r="L37">
        <f>IFERROR(__xludf.DUMMYFUNCTION("""COMPUTED_VALUE"""),146.0)</f>
        <v>146</v>
      </c>
    </row>
    <row r="38">
      <c r="C38" s="59">
        <f t="shared" si="3"/>
        <v>-0.04631185187</v>
      </c>
      <c r="E38" s="47">
        <v>41433.0</v>
      </c>
      <c r="F38" t="str">
        <f t="shared" si="1"/>
        <v>2013-06</v>
      </c>
      <c r="G38" t="str">
        <f>IFERROR(__xludf.DUMMYFUNCTION("""COMPUTED_VALUE"""),"2017-02")</f>
        <v>2017-02</v>
      </c>
      <c r="H38" s="52">
        <f>IFERROR(__xludf.DUMMYFUNCTION("""COMPUTED_VALUE"""),1.0)</f>
        <v>1</v>
      </c>
      <c r="I38" s="44">
        <f t="shared" si="2"/>
        <v>-0.003107515261</v>
      </c>
      <c r="J38" s="61">
        <v>8.0</v>
      </c>
      <c r="K38" t="str">
        <f>IFERROR(__xludf.DUMMYFUNCTION("""COMPUTED_VALUE"""),"2017-02")</f>
        <v>2017-02</v>
      </c>
      <c r="L38">
        <f>IFERROR(__xludf.DUMMYFUNCTION("""COMPUTED_VALUE"""),22.0)</f>
        <v>22</v>
      </c>
    </row>
    <row r="39">
      <c r="C39" s="59">
        <f t="shared" si="3"/>
        <v>-0.01988926526</v>
      </c>
      <c r="E39" s="47">
        <v>41435.0</v>
      </c>
      <c r="F39" t="str">
        <f t="shared" si="1"/>
        <v>2013-06</v>
      </c>
      <c r="G39" t="str">
        <f>IFERROR(__xludf.DUMMYFUNCTION("""COMPUTED_VALUE"""),"2017-03")</f>
        <v>2017-03</v>
      </c>
      <c r="H39" s="52">
        <f>IFERROR(__xludf.DUMMYFUNCTION("""COMPUTED_VALUE"""),2.0)</f>
        <v>2</v>
      </c>
      <c r="I39" s="44">
        <f t="shared" si="2"/>
        <v>-0.02778698021</v>
      </c>
      <c r="J39" s="61">
        <v>7.0</v>
      </c>
      <c r="K39" t="str">
        <f>IFERROR(__xludf.DUMMYFUNCTION("""COMPUTED_VALUE"""),"2017-03")</f>
        <v>2017-03</v>
      </c>
      <c r="L39">
        <f>IFERROR(__xludf.DUMMYFUNCTION("""COMPUTED_VALUE"""),33.0)</f>
        <v>33</v>
      </c>
    </row>
    <row r="40">
      <c r="C40" s="59">
        <f t="shared" si="3"/>
        <v>0.004897549112</v>
      </c>
      <c r="E40" s="47">
        <v>41485.0</v>
      </c>
      <c r="F40" t="str">
        <f t="shared" si="1"/>
        <v>2013-07</v>
      </c>
      <c r="G40" t="str">
        <f>IFERROR(__xludf.DUMMYFUNCTION("""COMPUTED_VALUE"""),"2017-04")</f>
        <v>2017-04</v>
      </c>
      <c r="H40" s="52">
        <f>IFERROR(__xludf.DUMMYFUNCTION("""COMPUTED_VALUE"""),2.0)</f>
        <v>2</v>
      </c>
      <c r="I40" s="44">
        <f t="shared" si="2"/>
        <v>-0.01862156393</v>
      </c>
      <c r="J40" s="61">
        <v>3.0</v>
      </c>
      <c r="K40" t="str">
        <f>IFERROR(__xludf.DUMMYFUNCTION("""COMPUTED_VALUE"""),"2017-04")</f>
        <v>2017-04</v>
      </c>
      <c r="L40">
        <f>IFERROR(__xludf.DUMMYFUNCTION("""COMPUTED_VALUE"""),56.0)</f>
        <v>56</v>
      </c>
    </row>
    <row r="41">
      <c r="C41" s="59">
        <f t="shared" si="3"/>
        <v>-0.003985703987</v>
      </c>
      <c r="E41" s="47">
        <v>41524.0</v>
      </c>
      <c r="F41" t="str">
        <f t="shared" si="1"/>
        <v>2013-09</v>
      </c>
      <c r="G41" t="str">
        <f>IFERROR(__xludf.DUMMYFUNCTION("""COMPUTED_VALUE"""),"2017-05")</f>
        <v>2017-05</v>
      </c>
      <c r="H41" s="52">
        <f>IFERROR(__xludf.DUMMYFUNCTION("""COMPUTED_VALUE"""),1.0)</f>
        <v>1</v>
      </c>
      <c r="I41" s="44">
        <f t="shared" si="2"/>
        <v>0.01066093272</v>
      </c>
      <c r="J41" s="61">
        <v>6.0</v>
      </c>
      <c r="K41" t="str">
        <f>IFERROR(__xludf.DUMMYFUNCTION("""COMPUTED_VALUE"""),"2017-05")</f>
        <v>2017-05</v>
      </c>
      <c r="L41">
        <f>IFERROR(__xludf.DUMMYFUNCTION("""COMPUTED_VALUE"""),10.0)</f>
        <v>10</v>
      </c>
    </row>
    <row r="42">
      <c r="C42" s="59">
        <f t="shared" si="3"/>
        <v>0.03315937137</v>
      </c>
      <c r="E42" s="47">
        <v>41524.0</v>
      </c>
      <c r="F42" t="str">
        <f t="shared" si="1"/>
        <v>2013-09</v>
      </c>
      <c r="G42" t="str">
        <f>IFERROR(__xludf.DUMMYFUNCTION("""COMPUTED_VALUE"""),"2017-07")</f>
        <v>2017-07</v>
      </c>
      <c r="H42" s="52">
        <f>IFERROR(__xludf.DUMMYFUNCTION("""COMPUTED_VALUE"""),1.0)</f>
        <v>1</v>
      </c>
      <c r="I42" s="44">
        <f t="shared" si="2"/>
        <v>-0.03846072692</v>
      </c>
      <c r="J42" s="61">
        <v>0.0</v>
      </c>
      <c r="K42" t="str">
        <f>IFERROR(__xludf.DUMMYFUNCTION("""COMPUTED_VALUE"""),"2017-07")</f>
        <v>2017-07</v>
      </c>
      <c r="L42">
        <f>IFERROR(__xludf.DUMMYFUNCTION("""COMPUTED_VALUE"""),20.0)</f>
        <v>20</v>
      </c>
    </row>
    <row r="43">
      <c r="C43" s="59">
        <f t="shared" si="3"/>
        <v>-0.0365497425</v>
      </c>
      <c r="E43" s="47">
        <v>41561.0</v>
      </c>
      <c r="F43" t="str">
        <f t="shared" si="1"/>
        <v>2013-10</v>
      </c>
      <c r="G43" t="str">
        <f>IFERROR(__xludf.DUMMYFUNCTION("""COMPUTED_VALUE"""),"2017-08")</f>
        <v>2017-08</v>
      </c>
      <c r="H43" s="52">
        <f>IFERROR(__xludf.DUMMYFUNCTION("""COMPUTED_VALUE"""),1.0)</f>
        <v>1</v>
      </c>
      <c r="I43" s="44">
        <f t="shared" si="2"/>
        <v>-0.01511989506</v>
      </c>
      <c r="J43" s="61">
        <v>5.0</v>
      </c>
      <c r="K43" t="str">
        <f>IFERROR(__xludf.DUMMYFUNCTION("""COMPUTED_VALUE"""),"2017-08")</f>
        <v>2017-08</v>
      </c>
      <c r="L43">
        <f>IFERROR(__xludf.DUMMYFUNCTION("""COMPUTED_VALUE"""),84.0)</f>
        <v>84</v>
      </c>
    </row>
    <row r="44">
      <c r="C44" s="59">
        <f t="shared" si="3"/>
        <v>-0.0002354004809</v>
      </c>
      <c r="E44" s="47">
        <v>41619.0</v>
      </c>
      <c r="F44" t="str">
        <f t="shared" si="1"/>
        <v>2013-12</v>
      </c>
      <c r="G44" t="str">
        <f>IFERROR(__xludf.DUMMYFUNCTION("""COMPUTED_VALUE"""),"2017-11")</f>
        <v>2017-11</v>
      </c>
      <c r="H44" s="52">
        <f>IFERROR(__xludf.DUMMYFUNCTION("""COMPUTED_VALUE"""),1.0)</f>
        <v>1</v>
      </c>
      <c r="I44" s="44">
        <f t="shared" si="2"/>
        <v>-0.02107776113</v>
      </c>
      <c r="J44" s="61">
        <v>99.0</v>
      </c>
      <c r="K44" t="str">
        <f>IFERROR(__xludf.DUMMYFUNCTION("""COMPUTED_VALUE"""),"2017-11")</f>
        <v>2017-11</v>
      </c>
      <c r="L44">
        <f>IFERROR(__xludf.DUMMYFUNCTION("""COMPUTED_VALUE"""),54.0)</f>
        <v>54</v>
      </c>
    </row>
    <row r="45">
      <c r="C45" s="59">
        <f t="shared" si="3"/>
        <v>0.01426196306</v>
      </c>
      <c r="E45" s="47">
        <v>41658.0</v>
      </c>
      <c r="F45" t="str">
        <f t="shared" si="1"/>
        <v>2014-01</v>
      </c>
      <c r="G45" t="str">
        <f>IFERROR(__xludf.DUMMYFUNCTION("""COMPUTED_VALUE"""),"2018-01")</f>
        <v>2018-01</v>
      </c>
      <c r="H45" s="52">
        <f>IFERROR(__xludf.DUMMYFUNCTION("""COMPUTED_VALUE"""),1.0)</f>
        <v>1</v>
      </c>
      <c r="I45" s="44">
        <f t="shared" si="2"/>
        <v>-0.02107776113</v>
      </c>
      <c r="J45" s="61">
        <v>7.0</v>
      </c>
      <c r="K45" t="str">
        <f>IFERROR(__xludf.DUMMYFUNCTION("""COMPUTED_VALUE"""),"2018-01")</f>
        <v>2018-01</v>
      </c>
      <c r="L45">
        <f>IFERROR(__xludf.DUMMYFUNCTION("""COMPUTED_VALUE"""),25.0)</f>
        <v>25</v>
      </c>
    </row>
    <row r="46">
      <c r="C46" s="59">
        <f t="shared" si="3"/>
        <v>-0.01216092007</v>
      </c>
      <c r="E46" s="47">
        <v>41744.0</v>
      </c>
      <c r="F46" t="str">
        <f t="shared" si="1"/>
        <v>2014-04</v>
      </c>
      <c r="G46" t="str">
        <f>IFERROR(__xludf.DUMMYFUNCTION("""COMPUTED_VALUE"""),"2018-02")</f>
        <v>2018-02</v>
      </c>
      <c r="H46" s="52">
        <f>IFERROR(__xludf.DUMMYFUNCTION("""COMPUTED_VALUE"""),2.0)</f>
        <v>2</v>
      </c>
      <c r="I46" s="44">
        <f t="shared" si="2"/>
        <v>-0.02107776113</v>
      </c>
      <c r="J46" s="61">
        <v>33.0</v>
      </c>
      <c r="K46" t="str">
        <f>IFERROR(__xludf.DUMMYFUNCTION("""COMPUTED_VALUE"""),"2018-02")</f>
        <v>2018-02</v>
      </c>
      <c r="L46">
        <f>IFERROR(__xludf.DUMMYFUNCTION("""COMPUTED_VALUE"""),72.0)</f>
        <v>72</v>
      </c>
    </row>
    <row r="47">
      <c r="C47" s="59">
        <f t="shared" si="3"/>
        <v>0.04047373195</v>
      </c>
      <c r="E47" s="47">
        <v>41791.0</v>
      </c>
      <c r="F47" t="str">
        <f t="shared" si="1"/>
        <v>2014-06</v>
      </c>
      <c r="G47" t="str">
        <f>IFERROR(__xludf.DUMMYFUNCTION("""COMPUTED_VALUE"""),"2018-03")</f>
        <v>2018-03</v>
      </c>
      <c r="H47" s="52">
        <f>IFERROR(__xludf.DUMMYFUNCTION("""COMPUTED_VALUE"""),1.0)</f>
        <v>1</v>
      </c>
      <c r="I47" s="44">
        <f t="shared" si="2"/>
        <v>-0.02107776113</v>
      </c>
      <c r="J47" s="61">
        <v>48.0</v>
      </c>
      <c r="K47" t="str">
        <f>IFERROR(__xludf.DUMMYFUNCTION("""COMPUTED_VALUE"""),"2018-03")</f>
        <v>2018-03</v>
      </c>
      <c r="L47">
        <f>IFERROR(__xludf.DUMMYFUNCTION("""COMPUTED_VALUE"""),11.0)</f>
        <v>11</v>
      </c>
    </row>
    <row r="48">
      <c r="C48" s="59">
        <f t="shared" si="3"/>
        <v>0.03728207839</v>
      </c>
      <c r="E48" s="47">
        <v>41952.0</v>
      </c>
      <c r="F48" t="str">
        <f t="shared" si="1"/>
        <v>2014-11</v>
      </c>
      <c r="H48" s="52"/>
      <c r="I48" s="44"/>
      <c r="J48" s="61">
        <v>18.0</v>
      </c>
    </row>
    <row r="49">
      <c r="C49" s="59">
        <f t="shared" si="3"/>
        <v>-0.01787149453</v>
      </c>
      <c r="E49" s="47">
        <v>42039.0</v>
      </c>
      <c r="F49" t="str">
        <f t="shared" si="1"/>
        <v>2015-02</v>
      </c>
      <c r="H49" s="52"/>
      <c r="I49" s="44"/>
      <c r="J49" s="61">
        <v>412.0</v>
      </c>
    </row>
    <row r="50">
      <c r="C50" s="59">
        <f t="shared" si="3"/>
        <v>-0.02197273297</v>
      </c>
      <c r="E50" s="47">
        <v>42041.0</v>
      </c>
      <c r="F50" t="str">
        <f t="shared" si="1"/>
        <v>2015-02</v>
      </c>
      <c r="H50" s="52"/>
      <c r="I50" s="44"/>
      <c r="J50" s="61">
        <v>1.0</v>
      </c>
    </row>
    <row r="51">
      <c r="C51" s="59">
        <f t="shared" si="3"/>
        <v>-0.02283729316</v>
      </c>
      <c r="E51" s="47">
        <v>42077.0</v>
      </c>
      <c r="F51" t="str">
        <f t="shared" si="1"/>
        <v>2015-03</v>
      </c>
      <c r="H51" s="52"/>
      <c r="I51" s="44"/>
      <c r="J51" s="61">
        <v>42.0</v>
      </c>
    </row>
    <row r="52">
      <c r="C52" s="59">
        <f t="shared" si="3"/>
        <v>-0.01285678068</v>
      </c>
      <c r="E52" s="47">
        <v>42087.0</v>
      </c>
      <c r="F52" t="str">
        <f t="shared" si="1"/>
        <v>2015-03</v>
      </c>
      <c r="H52" s="52"/>
      <c r="I52" s="44"/>
      <c r="J52" s="61">
        <v>2.0</v>
      </c>
    </row>
    <row r="53">
      <c r="C53" s="59">
        <f t="shared" si="3"/>
        <v>-0.03048780696</v>
      </c>
      <c r="E53" s="47">
        <v>42164.0</v>
      </c>
      <c r="F53" t="str">
        <f t="shared" si="1"/>
        <v>2015-06</v>
      </c>
      <c r="H53" s="52"/>
      <c r="I53" s="44"/>
      <c r="J53" s="61">
        <v>131.0</v>
      </c>
    </row>
    <row r="54">
      <c r="C54" s="59">
        <f t="shared" si="3"/>
        <v>-0.01211982487</v>
      </c>
      <c r="E54" s="47">
        <v>42166.0</v>
      </c>
      <c r="F54" t="str">
        <f t="shared" si="1"/>
        <v>2015-06</v>
      </c>
      <c r="H54" s="52"/>
      <c r="I54" s="44"/>
      <c r="J54" s="61">
        <v>8.0</v>
      </c>
    </row>
    <row r="55">
      <c r="C55" s="59">
        <f t="shared" si="3"/>
        <v>-0.03762174035</v>
      </c>
      <c r="E55" s="47">
        <v>42178.0</v>
      </c>
      <c r="F55" t="str">
        <f t="shared" si="1"/>
        <v>2015-06</v>
      </c>
      <c r="H55" s="52"/>
      <c r="I55" s="44"/>
      <c r="J55" s="61">
        <v>15.0</v>
      </c>
    </row>
    <row r="56">
      <c r="C56" s="59">
        <f t="shared" si="3"/>
        <v>-0.02723509318</v>
      </c>
      <c r="E56" s="47">
        <v>42186.0</v>
      </c>
      <c r="F56" t="str">
        <f t="shared" si="1"/>
        <v>2015-07</v>
      </c>
      <c r="H56" s="52"/>
      <c r="I56" s="44"/>
      <c r="J56" s="61">
        <v>8.0</v>
      </c>
    </row>
    <row r="57">
      <c r="C57" s="59">
        <f t="shared" si="3"/>
        <v>0.005314699553</v>
      </c>
      <c r="E57" s="47">
        <v>42246.0</v>
      </c>
      <c r="F57" t="str">
        <f t="shared" si="1"/>
        <v>2015-08</v>
      </c>
      <c r="H57" s="52"/>
      <c r="I57" s="44"/>
      <c r="J57" s="61">
        <v>33.0</v>
      </c>
    </row>
    <row r="58">
      <c r="C58" s="59">
        <f t="shared" si="3"/>
        <v>0.01320774154</v>
      </c>
      <c r="E58" s="47">
        <v>42465.0</v>
      </c>
      <c r="F58" t="str">
        <f t="shared" si="1"/>
        <v>2016-04</v>
      </c>
      <c r="H58" s="52"/>
      <c r="I58" s="44"/>
      <c r="J58" s="61">
        <v>49.0</v>
      </c>
    </row>
    <row r="59">
      <c r="C59" s="59">
        <f t="shared" si="3"/>
        <v>0.02541968025</v>
      </c>
      <c r="E59" s="47">
        <v>42359.0</v>
      </c>
      <c r="F59" t="str">
        <f t="shared" si="1"/>
        <v>2015-12</v>
      </c>
      <c r="H59" s="52"/>
      <c r="I59" s="44"/>
      <c r="J59" s="61">
        <v>65.0</v>
      </c>
    </row>
    <row r="60">
      <c r="C60" s="59">
        <f t="shared" si="3"/>
        <v>-0.002792136027</v>
      </c>
      <c r="E60" s="47">
        <v>42412.0</v>
      </c>
      <c r="F60" t="str">
        <f t="shared" si="1"/>
        <v>2016-02</v>
      </c>
      <c r="H60" s="52"/>
      <c r="I60" s="44"/>
      <c r="J60" s="61">
        <v>27.0</v>
      </c>
    </row>
    <row r="61">
      <c r="C61" s="59">
        <f t="shared" si="3"/>
        <v>0.02793828052</v>
      </c>
      <c r="E61" s="47">
        <v>42445.0</v>
      </c>
      <c r="F61" t="str">
        <f t="shared" si="1"/>
        <v>2016-03</v>
      </c>
      <c r="H61" s="52"/>
      <c r="I61" s="44"/>
      <c r="J61" s="61">
        <v>35.0</v>
      </c>
    </row>
    <row r="62">
      <c r="C62" s="59">
        <f t="shared" si="3"/>
        <v>-0.008355539738</v>
      </c>
      <c r="E62" s="47">
        <v>42451.0</v>
      </c>
      <c r="F62" t="str">
        <f t="shared" si="1"/>
        <v>2016-03</v>
      </c>
      <c r="H62" s="52"/>
      <c r="I62" s="44"/>
      <c r="J62" s="61">
        <v>7.0</v>
      </c>
    </row>
    <row r="63">
      <c r="C63" s="59">
        <f t="shared" si="3"/>
        <v>-0.02172099326</v>
      </c>
      <c r="E63" s="47">
        <v>42454.0</v>
      </c>
      <c r="F63" t="str">
        <f t="shared" si="1"/>
        <v>2016-03</v>
      </c>
      <c r="H63" s="52"/>
      <c r="I63" s="44"/>
      <c r="J63" s="61">
        <v>12.0</v>
      </c>
    </row>
    <row r="64">
      <c r="C64" s="59">
        <f t="shared" si="3"/>
        <v>-0.003107515261</v>
      </c>
      <c r="E64" s="47">
        <v>42461.0</v>
      </c>
      <c r="F64" t="str">
        <f t="shared" si="1"/>
        <v>2016-04</v>
      </c>
      <c r="H64" s="52"/>
      <c r="I64" s="44"/>
      <c r="J64" s="61">
        <v>10.0</v>
      </c>
    </row>
    <row r="65">
      <c r="C65" s="59">
        <f t="shared" si="3"/>
        <v>-0.02778698021</v>
      </c>
      <c r="E65" s="47">
        <v>42487.0</v>
      </c>
      <c r="F65" t="str">
        <f t="shared" si="1"/>
        <v>2016-04</v>
      </c>
      <c r="H65" s="52"/>
      <c r="I65" s="44"/>
      <c r="J65" s="61">
        <v>7.0</v>
      </c>
    </row>
    <row r="66">
      <c r="C66" s="59">
        <f t="shared" si="3"/>
        <v>-0.01862156393</v>
      </c>
      <c r="E66" s="47">
        <v>42605.0</v>
      </c>
      <c r="F66" t="str">
        <f t="shared" si="1"/>
        <v>2016-08</v>
      </c>
      <c r="H66" s="52"/>
      <c r="I66" s="44"/>
      <c r="J66" s="61">
        <v>244.0</v>
      </c>
    </row>
    <row r="67">
      <c r="C67" s="59">
        <f t="shared" si="3"/>
        <v>0.01066093272</v>
      </c>
      <c r="E67" s="47">
        <v>42633.0</v>
      </c>
      <c r="F67" t="str">
        <f t="shared" si="1"/>
        <v>2016-09</v>
      </c>
      <c r="H67" s="52"/>
      <c r="I67" s="44"/>
      <c r="J67" s="61">
        <v>33.0</v>
      </c>
    </row>
    <row r="68">
      <c r="C68" s="59">
        <f t="shared" si="3"/>
        <v>-0.007923209807</v>
      </c>
      <c r="E68" s="47">
        <v>42646.0</v>
      </c>
      <c r="F68" t="str">
        <f t="shared" si="1"/>
        <v>2016-10</v>
      </c>
      <c r="H68" s="52"/>
      <c r="I68" s="44"/>
      <c r="J68" s="61">
        <v>5.0</v>
      </c>
    </row>
    <row r="69">
      <c r="C69" s="59">
        <f t="shared" si="3"/>
        <v>-0.03846072692</v>
      </c>
      <c r="E69" s="47">
        <v>42756.0</v>
      </c>
      <c r="F69" t="str">
        <f t="shared" si="1"/>
        <v>2017-01</v>
      </c>
      <c r="H69" s="52"/>
      <c r="I69" s="44"/>
      <c r="J69" s="61">
        <v>68.0</v>
      </c>
    </row>
    <row r="70">
      <c r="C70" s="59">
        <f t="shared" si="3"/>
        <v>-0.01511989506</v>
      </c>
      <c r="E70" s="47">
        <v>42759.0</v>
      </c>
      <c r="F70" t="str">
        <f t="shared" si="1"/>
        <v>2017-01</v>
      </c>
      <c r="H70" s="52"/>
      <c r="I70" s="44"/>
      <c r="J70" s="61">
        <v>72.0</v>
      </c>
    </row>
    <row r="71">
      <c r="C71" s="59">
        <f t="shared" si="3"/>
        <v>-0.01758640521</v>
      </c>
      <c r="E71" s="47">
        <v>42760.0</v>
      </c>
      <c r="F71" t="str">
        <f t="shared" si="1"/>
        <v>2017-01</v>
      </c>
      <c r="H71" s="52"/>
      <c r="I71" s="44"/>
      <c r="J71" s="61">
        <v>6.0</v>
      </c>
    </row>
    <row r="72">
      <c r="C72" s="59">
        <f t="shared" si="3"/>
        <v>-0.02946443517</v>
      </c>
      <c r="E72" s="47">
        <v>42769.0</v>
      </c>
      <c r="F72" t="str">
        <f t="shared" si="1"/>
        <v>2017-02</v>
      </c>
      <c r="H72" s="52"/>
      <c r="I72" s="44"/>
      <c r="J72" s="61">
        <v>22.0</v>
      </c>
    </row>
    <row r="73">
      <c r="C73" s="59">
        <f t="shared" si="3"/>
        <v>-0.02107776113</v>
      </c>
      <c r="E73" s="47">
        <v>42797.0</v>
      </c>
      <c r="F73" t="str">
        <f t="shared" si="1"/>
        <v>2017-03</v>
      </c>
      <c r="H73" s="52"/>
      <c r="I73" s="44"/>
      <c r="J73" s="61">
        <v>12.0</v>
      </c>
    </row>
    <row r="74">
      <c r="C74" s="59"/>
      <c r="E74" s="47">
        <v>42811.0</v>
      </c>
      <c r="F74" t="str">
        <f t="shared" si="1"/>
        <v>2017-03</v>
      </c>
      <c r="H74" s="52"/>
      <c r="I74" s="44"/>
      <c r="J74" s="61">
        <v>21.0</v>
      </c>
    </row>
    <row r="75">
      <c r="B75" s="50"/>
      <c r="C75" s="59"/>
      <c r="E75" s="47">
        <v>42845.0</v>
      </c>
      <c r="F75" t="str">
        <f t="shared" si="1"/>
        <v>2017-04</v>
      </c>
      <c r="H75" s="52"/>
      <c r="I75" s="44"/>
      <c r="J75" s="61">
        <v>40.0</v>
      </c>
    </row>
    <row r="76">
      <c r="B76" s="50"/>
      <c r="C76" s="59"/>
      <c r="E76" s="47">
        <v>42853.0</v>
      </c>
      <c r="F76" t="str">
        <f t="shared" si="1"/>
        <v>2017-04</v>
      </c>
      <c r="H76" s="52"/>
      <c r="I76" s="44"/>
      <c r="J76" s="61">
        <v>16.0</v>
      </c>
    </row>
    <row r="77">
      <c r="B77" s="50"/>
      <c r="C77" s="59"/>
      <c r="E77" s="47">
        <v>42866.0</v>
      </c>
      <c r="F77" t="str">
        <f t="shared" si="1"/>
        <v>2017-05</v>
      </c>
      <c r="H77" s="52"/>
      <c r="I77" s="62" t="s">
        <v>151</v>
      </c>
      <c r="J77" s="61">
        <v>10.0</v>
      </c>
    </row>
    <row r="78">
      <c r="B78" s="50"/>
      <c r="C78" s="59"/>
      <c r="E78" s="47">
        <v>42920.0</v>
      </c>
      <c r="F78" t="str">
        <f t="shared" si="1"/>
        <v>2017-07</v>
      </c>
      <c r="H78" s="52"/>
      <c r="I78" s="44"/>
      <c r="J78" s="61">
        <v>20.0</v>
      </c>
    </row>
    <row r="79">
      <c r="B79" s="50"/>
      <c r="C79" s="59"/>
      <c r="E79" s="47">
        <v>42977.0</v>
      </c>
      <c r="F79" t="str">
        <f t="shared" si="1"/>
        <v>2017-08</v>
      </c>
      <c r="H79" s="52"/>
      <c r="I79" s="44"/>
      <c r="J79" s="61">
        <v>84.0</v>
      </c>
    </row>
    <row r="80">
      <c r="B80" s="50"/>
      <c r="C80" s="59"/>
      <c r="E80" s="47">
        <v>43060.0</v>
      </c>
      <c r="F80" t="str">
        <f t="shared" si="1"/>
        <v>2017-11</v>
      </c>
      <c r="H80" s="52"/>
      <c r="I80" s="44"/>
      <c r="J80" s="61">
        <v>54.0</v>
      </c>
    </row>
    <row r="81">
      <c r="B81" s="50"/>
      <c r="C81" s="59"/>
      <c r="E81" s="47">
        <v>43103.0</v>
      </c>
      <c r="F81" t="str">
        <f t="shared" si="1"/>
        <v>2018-01</v>
      </c>
      <c r="H81" s="52"/>
      <c r="I81" s="44"/>
      <c r="J81" s="61">
        <v>25.0</v>
      </c>
    </row>
    <row r="82">
      <c r="B82" s="50"/>
      <c r="C82" s="59"/>
      <c r="E82" s="47">
        <v>43138.0</v>
      </c>
      <c r="F82" t="str">
        <f t="shared" si="1"/>
        <v>2018-02</v>
      </c>
      <c r="H82" s="52"/>
      <c r="I82" s="44"/>
      <c r="J82" s="61">
        <v>53.0</v>
      </c>
    </row>
    <row r="83">
      <c r="B83" s="50"/>
      <c r="C83" s="59"/>
      <c r="E83" s="47">
        <v>43158.0</v>
      </c>
      <c r="F83" t="str">
        <f t="shared" si="1"/>
        <v>2018-02</v>
      </c>
      <c r="H83" s="52"/>
      <c r="I83" s="44"/>
      <c r="J83" s="61">
        <v>19.0</v>
      </c>
    </row>
    <row r="84">
      <c r="B84" s="50"/>
      <c r="C84" s="59"/>
      <c r="E84" s="47">
        <v>43173.0</v>
      </c>
      <c r="F84" t="str">
        <f t="shared" si="1"/>
        <v>2018-03</v>
      </c>
      <c r="H84" s="52"/>
      <c r="I84" s="44"/>
      <c r="J84" s="61">
        <v>11.0</v>
      </c>
    </row>
    <row r="85">
      <c r="B85" s="50"/>
      <c r="C85" s="59"/>
      <c r="E85" s="47"/>
      <c r="H85" s="52"/>
      <c r="I85" s="44"/>
      <c r="J85" s="61"/>
    </row>
    <row r="86">
      <c r="B86" s="50"/>
      <c r="C86" s="59"/>
      <c r="E86" s="47"/>
      <c r="H86" s="52"/>
      <c r="I86" s="44"/>
      <c r="J86" s="63"/>
    </row>
    <row r="87">
      <c r="B87" s="50"/>
      <c r="C87" s="59"/>
      <c r="E87" s="47"/>
      <c r="H87" s="52"/>
      <c r="I87" s="44"/>
      <c r="J87" s="63"/>
    </row>
    <row r="88">
      <c r="B88" s="50"/>
      <c r="C88" s="59"/>
      <c r="E88" s="47"/>
      <c r="H88" s="52"/>
      <c r="I88" s="44"/>
      <c r="J88" s="63"/>
    </row>
    <row r="89">
      <c r="B89" s="50"/>
      <c r="C89" s="59"/>
      <c r="E89" s="47"/>
      <c r="H89" s="52"/>
      <c r="I89" s="44"/>
      <c r="J89" s="63"/>
    </row>
    <row r="90">
      <c r="B90" s="50"/>
      <c r="C90" s="59"/>
      <c r="E90" s="47"/>
      <c r="H90" s="52"/>
      <c r="I90" s="44"/>
      <c r="J90" s="63"/>
    </row>
    <row r="91">
      <c r="B91" s="50"/>
      <c r="C91" s="59"/>
      <c r="E91" s="47"/>
      <c r="H91" s="52"/>
      <c r="I91" s="44" t="str">
        <f t="shared" ref="I91:I100" si="4">C91</f>
        <v/>
      </c>
      <c r="J91" s="63"/>
    </row>
    <row r="92">
      <c r="B92" s="50"/>
      <c r="C92" s="59"/>
      <c r="E92" s="47"/>
      <c r="H92" s="52"/>
      <c r="I92" s="44" t="str">
        <f t="shared" si="4"/>
        <v/>
      </c>
      <c r="J92" s="63"/>
    </row>
    <row r="93">
      <c r="B93" s="50"/>
      <c r="C93" s="59"/>
      <c r="E93" s="47"/>
      <c r="H93" s="52"/>
      <c r="I93" s="44" t="str">
        <f t="shared" si="4"/>
        <v/>
      </c>
      <c r="J93" s="63"/>
    </row>
    <row r="94">
      <c r="B94" s="50"/>
      <c r="C94" s="59"/>
      <c r="E94" s="47"/>
      <c r="H94" s="52"/>
      <c r="I94" s="44" t="str">
        <f t="shared" si="4"/>
        <v/>
      </c>
      <c r="J94" s="63"/>
    </row>
    <row r="95">
      <c r="B95" s="50"/>
      <c r="C95" s="59"/>
      <c r="E95" s="47"/>
      <c r="H95" s="52"/>
      <c r="I95" s="44" t="str">
        <f t="shared" si="4"/>
        <v/>
      </c>
      <c r="J95" s="63"/>
    </row>
    <row r="96">
      <c r="B96" s="50"/>
      <c r="C96" s="59"/>
      <c r="E96" s="47"/>
      <c r="H96" s="52"/>
      <c r="I96" s="44" t="str">
        <f t="shared" si="4"/>
        <v/>
      </c>
      <c r="J96" s="63"/>
    </row>
    <row r="97">
      <c r="B97" s="50"/>
      <c r="C97" s="59"/>
      <c r="E97" s="47"/>
      <c r="H97" s="52"/>
      <c r="I97" s="44" t="str">
        <f t="shared" si="4"/>
        <v/>
      </c>
      <c r="J97" s="63"/>
    </row>
    <row r="98">
      <c r="B98" s="50"/>
      <c r="C98" s="59"/>
      <c r="E98" s="47"/>
      <c r="H98" s="52"/>
      <c r="I98" s="44" t="str">
        <f t="shared" si="4"/>
        <v/>
      </c>
      <c r="J98" s="63"/>
    </row>
    <row r="99">
      <c r="B99" s="50"/>
      <c r="C99" s="59"/>
      <c r="E99" s="47"/>
      <c r="H99" s="52"/>
      <c r="I99" s="44" t="str">
        <f t="shared" si="4"/>
        <v/>
      </c>
      <c r="J99" s="63"/>
    </row>
    <row r="100">
      <c r="B100" s="50"/>
      <c r="C100" s="59"/>
      <c r="E100" s="47"/>
      <c r="H100" s="52"/>
      <c r="I100" s="44" t="str">
        <f t="shared" si="4"/>
        <v/>
      </c>
      <c r="J100" s="63"/>
    </row>
    <row r="101">
      <c r="B101" s="50"/>
      <c r="C101" s="59"/>
      <c r="E101" s="47"/>
      <c r="H101" s="52"/>
      <c r="I101" s="44"/>
      <c r="J101" s="63"/>
    </row>
    <row r="102">
      <c r="B102" s="50"/>
      <c r="C102" s="59"/>
      <c r="E102" s="47"/>
      <c r="H102" s="52"/>
      <c r="I102" s="44"/>
      <c r="J102" s="63"/>
    </row>
    <row r="103">
      <c r="B103" s="50"/>
      <c r="C103" s="59"/>
      <c r="E103" s="47"/>
      <c r="H103" s="52"/>
      <c r="I103" s="44"/>
      <c r="J103" s="63"/>
    </row>
    <row r="104">
      <c r="B104" s="50"/>
      <c r="C104" s="59"/>
      <c r="E104" s="47"/>
      <c r="H104" s="52"/>
      <c r="I104" s="44"/>
      <c r="J104" s="63"/>
    </row>
    <row r="105">
      <c r="B105" s="50"/>
      <c r="C105" s="59"/>
      <c r="E105" s="47"/>
      <c r="H105" s="52"/>
      <c r="I105" s="44"/>
      <c r="J105" s="63"/>
    </row>
    <row r="106">
      <c r="B106" s="50"/>
      <c r="C106" s="59"/>
      <c r="E106" s="47"/>
      <c r="H106" s="52"/>
      <c r="I106" s="44"/>
      <c r="J106" s="63"/>
    </row>
    <row r="107">
      <c r="B107" s="50"/>
      <c r="C107" s="59"/>
      <c r="E107" s="47"/>
      <c r="H107" s="52"/>
      <c r="I107" s="44"/>
      <c r="J107" s="63"/>
    </row>
    <row r="108">
      <c r="B108" s="50"/>
      <c r="C108" s="59"/>
      <c r="E108" s="47"/>
      <c r="H108" s="52"/>
      <c r="I108" s="44"/>
      <c r="J108" s="63"/>
    </row>
    <row r="109">
      <c r="B109" s="50"/>
      <c r="C109" s="59"/>
      <c r="E109" s="47"/>
      <c r="H109" s="52"/>
      <c r="I109" s="44"/>
      <c r="J109" s="63"/>
    </row>
    <row r="110">
      <c r="B110" s="50"/>
      <c r="C110" s="59"/>
      <c r="E110" s="47"/>
      <c r="H110" s="52"/>
      <c r="I110" s="44"/>
      <c r="J110" s="63"/>
    </row>
    <row r="111">
      <c r="B111" s="50"/>
      <c r="C111" s="59"/>
      <c r="E111" s="47"/>
      <c r="H111" s="52"/>
      <c r="I111" s="44"/>
      <c r="J111" s="63"/>
    </row>
    <row r="112">
      <c r="B112" s="50"/>
      <c r="C112" s="59"/>
      <c r="E112" s="47"/>
      <c r="H112" s="52"/>
      <c r="I112" s="44"/>
      <c r="J112" s="63"/>
    </row>
    <row r="113">
      <c r="B113" s="50"/>
      <c r="C113" s="59"/>
      <c r="E113" s="47"/>
      <c r="H113" s="52"/>
      <c r="I113" s="44"/>
      <c r="J113" s="63"/>
    </row>
    <row r="114">
      <c r="B114" s="50"/>
      <c r="C114" s="59"/>
      <c r="E114" s="47"/>
      <c r="H114" s="52"/>
      <c r="I114" s="44"/>
      <c r="J114" s="63"/>
    </row>
    <row r="115">
      <c r="B115" s="50"/>
      <c r="C115" s="59"/>
      <c r="E115" s="47"/>
      <c r="H115" s="52"/>
      <c r="I115" s="44"/>
      <c r="J115" s="63"/>
    </row>
    <row r="116">
      <c r="B116" s="50"/>
      <c r="C116" s="59"/>
      <c r="E116" s="47"/>
      <c r="H116" s="52"/>
      <c r="I116" s="44"/>
      <c r="J116" s="63"/>
    </row>
    <row r="117">
      <c r="B117" s="50"/>
      <c r="C117" s="59"/>
      <c r="E117" s="47"/>
      <c r="H117" s="52"/>
      <c r="I117" s="44"/>
      <c r="J117" s="63"/>
    </row>
    <row r="118">
      <c r="B118" s="50"/>
      <c r="C118" s="59"/>
      <c r="E118" s="47"/>
      <c r="H118" s="52"/>
      <c r="I118" s="44"/>
      <c r="J118" s="63"/>
    </row>
    <row r="119">
      <c r="B119" s="50"/>
      <c r="C119" s="59"/>
      <c r="E119" s="47"/>
      <c r="H119" s="52"/>
      <c r="I119" s="44"/>
      <c r="J119" s="63"/>
    </row>
    <row r="120">
      <c r="B120" s="50"/>
      <c r="C120" s="59"/>
      <c r="E120" s="47"/>
      <c r="H120" s="52"/>
      <c r="I120" s="44"/>
      <c r="J120" s="63"/>
    </row>
    <row r="121">
      <c r="B121" s="50"/>
      <c r="C121" s="59"/>
      <c r="E121" s="47"/>
      <c r="H121" s="52"/>
      <c r="I121" s="44"/>
      <c r="J121" s="63"/>
    </row>
    <row r="122">
      <c r="B122" s="50"/>
      <c r="C122" s="59"/>
      <c r="E122" s="47"/>
      <c r="H122" s="52"/>
      <c r="I122" s="44"/>
      <c r="J122" s="63"/>
    </row>
    <row r="123">
      <c r="B123" s="50"/>
      <c r="C123" s="59"/>
      <c r="E123" s="47"/>
      <c r="H123" s="52"/>
      <c r="I123" s="44"/>
      <c r="J123" s="63"/>
    </row>
    <row r="124">
      <c r="B124" s="50"/>
      <c r="C124" s="59"/>
      <c r="E124" s="47"/>
      <c r="H124" s="52"/>
      <c r="I124" s="44"/>
      <c r="J124" s="63"/>
    </row>
    <row r="125">
      <c r="B125" s="50"/>
      <c r="C125" s="59"/>
      <c r="E125" s="47"/>
      <c r="H125" s="52"/>
      <c r="I125" s="44"/>
      <c r="J125" s="63"/>
    </row>
    <row r="126">
      <c r="B126" s="50"/>
      <c r="C126" s="59"/>
      <c r="E126" s="47"/>
      <c r="H126" s="52"/>
      <c r="I126" s="44"/>
      <c r="J126" s="63"/>
    </row>
    <row r="127">
      <c r="B127" s="50"/>
      <c r="C127" s="59"/>
      <c r="E127" s="47"/>
      <c r="H127" s="52"/>
      <c r="I127" s="44"/>
      <c r="J127" s="63"/>
    </row>
    <row r="128">
      <c r="B128" s="50"/>
      <c r="C128" s="59"/>
      <c r="E128" s="47"/>
      <c r="H128" s="52"/>
      <c r="I128" s="44"/>
      <c r="J128" s="63"/>
    </row>
    <row r="129">
      <c r="B129" s="50"/>
      <c r="C129" s="59"/>
      <c r="E129" s="47"/>
      <c r="H129" s="52"/>
      <c r="I129" s="44"/>
      <c r="J129" s="63"/>
    </row>
    <row r="130">
      <c r="B130" s="50"/>
      <c r="C130" s="59"/>
      <c r="E130" s="47"/>
      <c r="H130" s="52"/>
      <c r="I130" s="44"/>
      <c r="J130" s="63"/>
    </row>
    <row r="131">
      <c r="B131" s="50"/>
      <c r="C131" s="59"/>
      <c r="E131" s="47"/>
      <c r="H131" s="52"/>
      <c r="I131" s="44"/>
      <c r="J131" s="63"/>
    </row>
    <row r="132">
      <c r="B132" s="50"/>
      <c r="C132" s="59"/>
      <c r="E132" s="47"/>
      <c r="H132" s="52"/>
      <c r="I132" s="44"/>
      <c r="J132" s="63"/>
    </row>
    <row r="133">
      <c r="B133" s="50"/>
      <c r="C133" s="59"/>
      <c r="E133" s="47"/>
      <c r="H133" s="52"/>
      <c r="I133" s="44"/>
      <c r="J133" s="63"/>
    </row>
    <row r="134">
      <c r="B134" s="50"/>
      <c r="C134" s="59"/>
      <c r="E134" s="47"/>
      <c r="H134" s="52"/>
      <c r="I134" s="44"/>
      <c r="J134" s="63"/>
    </row>
    <row r="135">
      <c r="B135" s="50"/>
      <c r="C135" s="59"/>
      <c r="E135" s="47"/>
      <c r="H135" s="52"/>
      <c r="I135" s="44"/>
      <c r="J135" s="63"/>
    </row>
    <row r="136">
      <c r="B136" s="50"/>
      <c r="C136" s="59"/>
      <c r="E136" s="47"/>
      <c r="H136" s="52"/>
      <c r="I136" s="44"/>
      <c r="J136" s="63"/>
    </row>
    <row r="137">
      <c r="B137" s="50"/>
      <c r="C137" s="59"/>
      <c r="E137" s="47"/>
      <c r="H137" s="52"/>
      <c r="I137" s="44"/>
      <c r="J137" s="63"/>
    </row>
    <row r="138">
      <c r="B138" s="50"/>
      <c r="C138" s="59"/>
      <c r="E138" s="47"/>
      <c r="H138" s="52"/>
      <c r="I138" s="44"/>
      <c r="J138" s="63"/>
    </row>
    <row r="139">
      <c r="B139" s="50"/>
      <c r="C139" s="59"/>
      <c r="E139" s="47"/>
      <c r="H139" s="52"/>
      <c r="I139" s="44"/>
      <c r="J139" s="63"/>
    </row>
    <row r="140">
      <c r="B140" s="50"/>
      <c r="C140" s="59"/>
      <c r="E140" s="47"/>
      <c r="H140" s="52"/>
      <c r="I140" s="44"/>
      <c r="J140" s="63"/>
    </row>
    <row r="141">
      <c r="B141" s="50"/>
      <c r="C141" s="59"/>
      <c r="E141" s="47"/>
      <c r="H141" s="52"/>
      <c r="I141" s="44"/>
      <c r="J141" s="63"/>
    </row>
    <row r="142">
      <c r="B142" s="50"/>
      <c r="C142" s="59"/>
      <c r="E142" s="47"/>
      <c r="H142" s="52"/>
      <c r="I142" s="44"/>
      <c r="J142" s="63"/>
    </row>
    <row r="143">
      <c r="B143" s="50"/>
      <c r="C143" s="59"/>
      <c r="E143" s="47"/>
      <c r="H143" s="52"/>
      <c r="I143" s="44"/>
      <c r="J143" s="63"/>
    </row>
    <row r="144">
      <c r="B144" s="50"/>
      <c r="C144" s="59"/>
      <c r="E144" s="47"/>
      <c r="H144" s="52"/>
      <c r="I144" s="44"/>
      <c r="J144" s="63"/>
    </row>
    <row r="145">
      <c r="B145" s="50"/>
      <c r="C145" s="59"/>
      <c r="E145" s="47"/>
      <c r="H145" s="52"/>
      <c r="I145" s="44"/>
      <c r="J145" s="63"/>
    </row>
    <row r="146">
      <c r="B146" s="50"/>
      <c r="C146" s="59"/>
      <c r="E146" s="47"/>
      <c r="H146" s="52"/>
      <c r="I146" s="44"/>
      <c r="J146" s="63"/>
    </row>
    <row r="147">
      <c r="B147" s="50"/>
      <c r="C147" s="59"/>
      <c r="E147" s="47"/>
      <c r="H147" s="52"/>
      <c r="I147" s="44"/>
      <c r="J147" s="63"/>
    </row>
    <row r="148">
      <c r="B148" s="50"/>
      <c r="C148" s="59"/>
      <c r="E148" s="47"/>
      <c r="H148" s="52"/>
      <c r="I148" s="44"/>
      <c r="J148" s="63"/>
    </row>
    <row r="149">
      <c r="B149" s="50"/>
      <c r="C149" s="59"/>
      <c r="E149" s="47"/>
      <c r="H149" s="52"/>
      <c r="I149" s="44"/>
      <c r="J149" s="63"/>
    </row>
    <row r="150">
      <c r="B150" s="50"/>
      <c r="C150" s="59"/>
      <c r="E150" s="47"/>
      <c r="H150" s="52"/>
      <c r="I150" s="44"/>
      <c r="J150" s="63"/>
    </row>
    <row r="151">
      <c r="B151" s="50"/>
      <c r="C151" s="59"/>
      <c r="E151" s="47"/>
      <c r="H151" s="52"/>
      <c r="I151" s="44"/>
      <c r="J151" s="63"/>
    </row>
    <row r="152">
      <c r="B152" s="50"/>
      <c r="C152" s="59"/>
      <c r="E152" s="47"/>
      <c r="H152" s="52"/>
      <c r="I152" s="44"/>
      <c r="J152" s="63"/>
    </row>
    <row r="153">
      <c r="B153" s="50"/>
      <c r="C153" s="59"/>
      <c r="E153" s="47"/>
      <c r="H153" s="52"/>
      <c r="I153" s="44"/>
      <c r="J153" s="63"/>
    </row>
    <row r="154">
      <c r="B154" s="50"/>
      <c r="C154" s="59"/>
      <c r="E154" s="47"/>
      <c r="H154" s="52"/>
      <c r="I154" s="44"/>
      <c r="J154" s="63"/>
    </row>
    <row r="155">
      <c r="B155" s="50"/>
      <c r="C155" s="59"/>
      <c r="E155" s="47"/>
      <c r="H155" s="52"/>
      <c r="I155" s="44"/>
      <c r="J155" s="63"/>
    </row>
    <row r="156">
      <c r="B156" s="50"/>
      <c r="C156" s="59"/>
      <c r="E156" s="47"/>
      <c r="H156" s="52"/>
      <c r="I156" s="44"/>
      <c r="J156" s="63"/>
    </row>
    <row r="157">
      <c r="B157" s="50"/>
      <c r="C157" s="59"/>
      <c r="E157" s="47"/>
      <c r="H157" s="52"/>
      <c r="I157" s="44"/>
      <c r="J157" s="63"/>
    </row>
    <row r="158">
      <c r="B158" s="50"/>
      <c r="C158" s="59"/>
      <c r="E158" s="47"/>
      <c r="H158" s="52"/>
      <c r="I158" s="44"/>
      <c r="J158" s="63"/>
    </row>
    <row r="159">
      <c r="B159" s="50"/>
      <c r="C159" s="59"/>
      <c r="E159" s="47"/>
      <c r="H159" s="52"/>
      <c r="I159" s="44"/>
      <c r="J159" s="63"/>
    </row>
    <row r="160">
      <c r="B160" s="50"/>
      <c r="C160" s="59"/>
      <c r="E160" s="47"/>
      <c r="H160" s="52"/>
      <c r="I160" s="44"/>
      <c r="J160" s="63"/>
    </row>
    <row r="161">
      <c r="B161" s="50"/>
      <c r="C161" s="59"/>
      <c r="E161" s="47"/>
      <c r="H161" s="52"/>
      <c r="I161" s="44"/>
      <c r="J161" s="63"/>
    </row>
    <row r="162">
      <c r="B162" s="50"/>
      <c r="C162" s="59"/>
      <c r="E162" s="47"/>
      <c r="H162" s="52"/>
      <c r="I162" s="44"/>
      <c r="J162" s="63"/>
    </row>
    <row r="163">
      <c r="B163" s="50"/>
      <c r="C163" s="59"/>
      <c r="E163" s="47"/>
      <c r="H163" s="52"/>
      <c r="I163" s="44"/>
      <c r="J163" s="63"/>
    </row>
    <row r="164">
      <c r="B164" s="50"/>
      <c r="C164" s="59"/>
      <c r="E164" s="47"/>
      <c r="H164" s="52"/>
      <c r="I164" s="44"/>
      <c r="J164" s="63"/>
    </row>
    <row r="165">
      <c r="B165" s="50"/>
      <c r="C165" s="59"/>
      <c r="E165" s="47"/>
      <c r="H165" s="52"/>
      <c r="I165" s="44"/>
      <c r="J165" s="63"/>
    </row>
    <row r="166">
      <c r="B166" s="50"/>
      <c r="C166" s="59"/>
      <c r="E166" s="47"/>
      <c r="H166" s="52"/>
      <c r="I166" s="44"/>
      <c r="J166" s="63"/>
    </row>
    <row r="167">
      <c r="B167" s="50"/>
      <c r="C167" s="59"/>
      <c r="E167" s="47"/>
      <c r="H167" s="52"/>
      <c r="I167" s="44"/>
      <c r="J167" s="63"/>
    </row>
    <row r="168">
      <c r="B168" s="50"/>
      <c r="C168" s="59"/>
      <c r="E168" s="47"/>
      <c r="H168" s="52"/>
      <c r="I168" s="44"/>
      <c r="J168" s="63"/>
    </row>
    <row r="169">
      <c r="B169" s="50"/>
      <c r="C169" s="59"/>
      <c r="E169" s="47"/>
      <c r="H169" s="52"/>
      <c r="I169" s="44"/>
      <c r="J169" s="63"/>
    </row>
    <row r="170">
      <c r="B170" s="50"/>
      <c r="C170" s="59"/>
      <c r="E170" s="47"/>
      <c r="H170" s="52"/>
      <c r="I170" s="44"/>
      <c r="J170" s="63"/>
    </row>
    <row r="171">
      <c r="B171" s="50"/>
      <c r="C171" s="59"/>
      <c r="E171" s="47"/>
      <c r="H171" s="52"/>
      <c r="I171" s="44"/>
      <c r="J171" s="63"/>
    </row>
    <row r="172">
      <c r="B172" s="50"/>
      <c r="C172" s="59"/>
      <c r="E172" s="47"/>
      <c r="H172" s="52"/>
      <c r="I172" s="44"/>
      <c r="J172" s="63"/>
    </row>
    <row r="173">
      <c r="B173" s="50"/>
      <c r="C173" s="59"/>
      <c r="E173" s="47"/>
      <c r="H173" s="52"/>
      <c r="I173" s="44"/>
      <c r="J173" s="63"/>
    </row>
    <row r="174">
      <c r="B174" s="50"/>
      <c r="C174" s="59"/>
      <c r="E174" s="47"/>
      <c r="H174" s="52"/>
      <c r="I174" s="44"/>
      <c r="J174" s="63"/>
    </row>
    <row r="175">
      <c r="B175" s="50"/>
      <c r="C175" s="59"/>
      <c r="E175" s="47"/>
      <c r="H175" s="52"/>
      <c r="I175" s="44"/>
      <c r="J175" s="63"/>
    </row>
    <row r="176">
      <c r="B176" s="50"/>
      <c r="C176" s="59"/>
      <c r="E176" s="47"/>
      <c r="H176" s="52"/>
      <c r="I176" s="44"/>
      <c r="J176" s="63"/>
    </row>
    <row r="177">
      <c r="B177" s="50"/>
      <c r="C177" s="59"/>
      <c r="E177" s="47"/>
      <c r="H177" s="52"/>
      <c r="I177" s="44"/>
      <c r="J177" s="63"/>
    </row>
    <row r="178">
      <c r="B178" s="50"/>
      <c r="C178" s="59"/>
      <c r="E178" s="47"/>
      <c r="H178" s="52"/>
      <c r="I178" s="44"/>
      <c r="J178" s="63"/>
    </row>
    <row r="179">
      <c r="B179" s="50"/>
      <c r="C179" s="59"/>
      <c r="E179" s="47"/>
      <c r="H179" s="52"/>
      <c r="I179" s="44"/>
      <c r="J179" s="63"/>
    </row>
    <row r="180">
      <c r="B180" s="50"/>
      <c r="C180" s="59"/>
      <c r="E180" s="47"/>
      <c r="H180" s="52"/>
      <c r="I180" s="44"/>
      <c r="J180" s="63"/>
    </row>
    <row r="181">
      <c r="B181" s="50"/>
      <c r="C181" s="59"/>
      <c r="E181" s="47"/>
      <c r="H181" s="52"/>
      <c r="I181" s="44"/>
      <c r="J181" s="63"/>
    </row>
    <row r="182">
      <c r="B182" s="50"/>
      <c r="C182" s="59"/>
      <c r="E182" s="47"/>
      <c r="H182" s="52"/>
      <c r="I182" s="44"/>
      <c r="J182" s="63"/>
    </row>
    <row r="183">
      <c r="B183" s="50"/>
      <c r="C183" s="59"/>
      <c r="E183" s="47"/>
      <c r="H183" s="52"/>
      <c r="I183" s="44"/>
      <c r="J183" s="63"/>
    </row>
    <row r="184">
      <c r="B184" s="50"/>
      <c r="C184" s="59"/>
      <c r="E184" s="47"/>
      <c r="H184" s="52"/>
      <c r="I184" s="44"/>
      <c r="J184" s="63"/>
    </row>
    <row r="185">
      <c r="B185" s="50"/>
      <c r="C185" s="59"/>
      <c r="E185" s="47"/>
      <c r="H185" s="52"/>
      <c r="I185" s="44"/>
      <c r="J185" s="63"/>
    </row>
    <row r="186">
      <c r="B186" s="50"/>
      <c r="C186" s="59"/>
      <c r="E186" s="47"/>
      <c r="H186" s="52"/>
      <c r="I186" s="44"/>
      <c r="J186" s="63"/>
    </row>
    <row r="187">
      <c r="B187" s="50"/>
      <c r="C187" s="59"/>
      <c r="E187" s="47"/>
      <c r="H187" s="52"/>
      <c r="I187" s="44"/>
      <c r="J187" s="63"/>
    </row>
    <row r="188">
      <c r="B188" s="50"/>
      <c r="C188" s="59"/>
      <c r="E188" s="47"/>
      <c r="H188" s="52"/>
      <c r="I188" s="44"/>
      <c r="J188" s="63"/>
    </row>
    <row r="189">
      <c r="B189" s="50"/>
      <c r="C189" s="59"/>
      <c r="E189" s="47"/>
      <c r="H189" s="52"/>
      <c r="I189" s="44"/>
      <c r="J189" s="63"/>
    </row>
    <row r="190">
      <c r="B190" s="50"/>
      <c r="C190" s="59"/>
      <c r="E190" s="47"/>
      <c r="H190" s="52"/>
      <c r="I190" s="44"/>
      <c r="J190" s="63"/>
    </row>
    <row r="191">
      <c r="B191" s="50"/>
      <c r="C191" s="59"/>
      <c r="E191" s="47"/>
      <c r="H191" s="52"/>
      <c r="I191" s="44"/>
      <c r="J191" s="63"/>
    </row>
    <row r="192">
      <c r="B192" s="50"/>
      <c r="C192" s="59"/>
      <c r="E192" s="47"/>
      <c r="H192" s="52"/>
      <c r="I192" s="44"/>
      <c r="J192" s="63"/>
    </row>
    <row r="193">
      <c r="B193" s="50"/>
      <c r="C193" s="59"/>
      <c r="E193" s="47"/>
      <c r="H193" s="52"/>
      <c r="I193" s="44"/>
      <c r="J193" s="63"/>
    </row>
    <row r="194">
      <c r="B194" s="50"/>
      <c r="C194" s="59"/>
      <c r="E194" s="47"/>
      <c r="H194" s="52"/>
      <c r="I194" s="44"/>
      <c r="J194" s="63"/>
    </row>
    <row r="195">
      <c r="B195" s="50"/>
      <c r="C195" s="59"/>
      <c r="E195" s="47"/>
      <c r="H195" s="52"/>
      <c r="I195" s="44"/>
      <c r="J195" s="63"/>
    </row>
    <row r="196">
      <c r="B196" s="50"/>
      <c r="C196" s="59"/>
      <c r="E196" s="47"/>
      <c r="H196" s="52"/>
      <c r="I196" s="44"/>
      <c r="J196" s="63"/>
    </row>
    <row r="197">
      <c r="B197" s="50"/>
      <c r="C197" s="59"/>
      <c r="E197" s="47"/>
      <c r="H197" s="52"/>
      <c r="I197" s="44"/>
      <c r="J197" s="63"/>
    </row>
    <row r="198">
      <c r="B198" s="50"/>
      <c r="C198" s="59"/>
      <c r="E198" s="47"/>
      <c r="H198" s="52"/>
      <c r="I198" s="44"/>
      <c r="J198" s="63"/>
    </row>
    <row r="199">
      <c r="B199" s="50"/>
      <c r="C199" s="59"/>
      <c r="E199" s="47"/>
      <c r="H199" s="52"/>
      <c r="I199" s="44"/>
      <c r="J199" s="63"/>
    </row>
    <row r="200">
      <c r="B200" s="50"/>
      <c r="C200" s="59"/>
      <c r="E200" s="47"/>
      <c r="H200" s="52"/>
      <c r="I200" s="44"/>
      <c r="J200" s="63"/>
    </row>
    <row r="201">
      <c r="B201" s="50"/>
      <c r="C201" s="59"/>
      <c r="E201" s="47"/>
      <c r="H201" s="52"/>
      <c r="I201" s="44"/>
      <c r="J201" s="63"/>
    </row>
    <row r="202">
      <c r="B202" s="50"/>
      <c r="C202" s="59"/>
      <c r="E202" s="47"/>
      <c r="H202" s="52"/>
      <c r="I202" s="44"/>
      <c r="J202" s="63"/>
    </row>
    <row r="203">
      <c r="B203" s="50"/>
      <c r="C203" s="59"/>
      <c r="E203" s="47"/>
      <c r="H203" s="52"/>
      <c r="I203" s="44"/>
      <c r="J203" s="63"/>
    </row>
    <row r="204">
      <c r="B204" s="50"/>
      <c r="C204" s="59"/>
      <c r="E204" s="47"/>
      <c r="H204" s="52"/>
      <c r="I204" s="44"/>
      <c r="J204" s="63"/>
    </row>
    <row r="205">
      <c r="B205" s="50"/>
      <c r="C205" s="59"/>
      <c r="E205" s="47"/>
      <c r="H205" s="52"/>
      <c r="I205" s="44"/>
      <c r="J205" s="63"/>
    </row>
    <row r="206">
      <c r="B206" s="50"/>
      <c r="C206" s="59"/>
      <c r="E206" s="47"/>
      <c r="H206" s="52"/>
      <c r="I206" s="44"/>
      <c r="J206" s="63"/>
    </row>
    <row r="207">
      <c r="B207" s="50"/>
      <c r="C207" s="59"/>
      <c r="E207" s="47"/>
      <c r="H207" s="52"/>
      <c r="I207" s="44"/>
      <c r="J207" s="63"/>
    </row>
    <row r="208">
      <c r="B208" s="50"/>
      <c r="C208" s="59"/>
      <c r="E208" s="47"/>
      <c r="H208" s="52"/>
      <c r="I208" s="44"/>
      <c r="J208" s="63"/>
    </row>
    <row r="209">
      <c r="B209" s="50"/>
      <c r="C209" s="59"/>
      <c r="E209" s="47"/>
      <c r="H209" s="52"/>
      <c r="I209" s="44"/>
      <c r="J209" s="63"/>
    </row>
    <row r="210">
      <c r="B210" s="50"/>
      <c r="C210" s="59"/>
      <c r="E210" s="47"/>
      <c r="H210" s="52"/>
      <c r="I210" s="44"/>
      <c r="J210" s="63"/>
    </row>
    <row r="211">
      <c r="B211" s="50"/>
      <c r="C211" s="59"/>
      <c r="E211" s="47"/>
      <c r="H211" s="52"/>
      <c r="I211" s="44"/>
      <c r="J211" s="63"/>
    </row>
    <row r="212">
      <c r="B212" s="50"/>
      <c r="C212" s="59"/>
      <c r="E212" s="47"/>
      <c r="H212" s="52"/>
      <c r="I212" s="44"/>
      <c r="J212" s="63"/>
    </row>
    <row r="213">
      <c r="B213" s="50"/>
      <c r="C213" s="59"/>
      <c r="E213" s="47"/>
      <c r="H213" s="52"/>
      <c r="I213" s="44"/>
      <c r="J213" s="63"/>
    </row>
    <row r="214">
      <c r="B214" s="50"/>
      <c r="C214" s="59"/>
      <c r="E214" s="47"/>
      <c r="H214" s="52"/>
      <c r="I214" s="44"/>
      <c r="J214" s="63"/>
    </row>
    <row r="215">
      <c r="B215" s="50"/>
      <c r="C215" s="59"/>
      <c r="E215" s="47"/>
      <c r="H215" s="52"/>
      <c r="I215" s="44"/>
      <c r="J215" s="63"/>
    </row>
    <row r="216">
      <c r="B216" s="50"/>
      <c r="C216" s="59"/>
      <c r="E216" s="47"/>
      <c r="H216" s="52"/>
      <c r="I216" s="44"/>
      <c r="J216" s="63"/>
    </row>
    <row r="217">
      <c r="B217" s="50"/>
      <c r="C217" s="59"/>
      <c r="E217" s="47"/>
      <c r="H217" s="52"/>
      <c r="I217" s="44"/>
      <c r="J217" s="63"/>
    </row>
    <row r="218">
      <c r="B218" s="50"/>
      <c r="C218" s="59"/>
      <c r="E218" s="47"/>
      <c r="H218" s="52"/>
      <c r="I218" s="44"/>
      <c r="J218" s="63"/>
    </row>
    <row r="219">
      <c r="B219" s="50"/>
      <c r="C219" s="59"/>
      <c r="E219" s="47"/>
      <c r="H219" s="52"/>
      <c r="I219" s="44"/>
      <c r="J219" s="63"/>
    </row>
    <row r="220">
      <c r="B220" s="50"/>
      <c r="C220" s="59"/>
      <c r="E220" s="47"/>
      <c r="H220" s="52"/>
      <c r="I220" s="44"/>
      <c r="J220" s="63"/>
    </row>
    <row r="221">
      <c r="B221" s="50"/>
      <c r="C221" s="59"/>
      <c r="E221" s="47"/>
      <c r="H221" s="52"/>
      <c r="I221" s="44"/>
      <c r="J221" s="63"/>
    </row>
    <row r="222">
      <c r="B222" s="50"/>
      <c r="C222" s="59"/>
      <c r="E222" s="47"/>
      <c r="H222" s="52"/>
      <c r="I222" s="44"/>
      <c r="J222" s="63"/>
    </row>
    <row r="223">
      <c r="B223" s="50"/>
      <c r="C223" s="59"/>
      <c r="E223" s="47"/>
      <c r="H223" s="52"/>
      <c r="I223" s="44"/>
      <c r="J223" s="63"/>
    </row>
    <row r="224">
      <c r="B224" s="50"/>
      <c r="C224" s="59"/>
      <c r="E224" s="47"/>
      <c r="H224" s="52"/>
      <c r="I224" s="44"/>
      <c r="J224" s="63"/>
    </row>
    <row r="225">
      <c r="B225" s="50"/>
      <c r="C225" s="59"/>
      <c r="E225" s="47"/>
      <c r="H225" s="52"/>
      <c r="I225" s="44"/>
      <c r="J225" s="63"/>
    </row>
    <row r="226">
      <c r="B226" s="50"/>
      <c r="C226" s="59"/>
      <c r="E226" s="47"/>
      <c r="H226" s="52"/>
      <c r="I226" s="44"/>
      <c r="J226" s="63"/>
    </row>
    <row r="227">
      <c r="B227" s="50"/>
      <c r="C227" s="59"/>
      <c r="E227" s="47"/>
      <c r="H227" s="52"/>
      <c r="I227" s="44"/>
      <c r="J227" s="63"/>
    </row>
    <row r="228">
      <c r="B228" s="50"/>
      <c r="C228" s="59"/>
      <c r="E228" s="47"/>
      <c r="H228" s="52"/>
      <c r="I228" s="44"/>
      <c r="J228" s="63"/>
    </row>
    <row r="229">
      <c r="B229" s="50"/>
      <c r="C229" s="59"/>
      <c r="E229" s="47"/>
      <c r="H229" s="52"/>
      <c r="I229" s="44"/>
      <c r="J229" s="63"/>
    </row>
    <row r="230">
      <c r="B230" s="50"/>
      <c r="C230" s="59"/>
      <c r="E230" s="47"/>
      <c r="H230" s="52"/>
      <c r="I230" s="44"/>
      <c r="J230" s="63"/>
    </row>
    <row r="231">
      <c r="B231" s="50"/>
      <c r="C231" s="59"/>
      <c r="E231" s="47"/>
      <c r="H231" s="52"/>
      <c r="I231" s="44"/>
      <c r="J231" s="63"/>
    </row>
    <row r="232">
      <c r="B232" s="50"/>
      <c r="C232" s="59"/>
      <c r="E232" s="47"/>
      <c r="H232" s="52"/>
      <c r="I232" s="44"/>
      <c r="J232" s="63"/>
    </row>
    <row r="233">
      <c r="B233" s="50"/>
      <c r="C233" s="59"/>
      <c r="E233" s="47"/>
      <c r="H233" s="52"/>
      <c r="I233" s="44"/>
      <c r="J233" s="63"/>
    </row>
    <row r="234">
      <c r="B234" s="50"/>
      <c r="C234" s="59"/>
      <c r="E234" s="47"/>
      <c r="H234" s="52"/>
      <c r="I234" s="44"/>
      <c r="J234" s="63"/>
    </row>
    <row r="235">
      <c r="B235" s="50"/>
      <c r="C235" s="59"/>
      <c r="E235" s="47"/>
      <c r="H235" s="52"/>
      <c r="I235" s="44"/>
      <c r="J235" s="63"/>
    </row>
    <row r="236">
      <c r="B236" s="50"/>
      <c r="C236" s="59"/>
      <c r="E236" s="47"/>
      <c r="H236" s="52"/>
      <c r="I236" s="44"/>
      <c r="J236" s="63"/>
    </row>
    <row r="237">
      <c r="B237" s="50"/>
      <c r="C237" s="59"/>
      <c r="E237" s="47"/>
      <c r="H237" s="52"/>
      <c r="I237" s="44"/>
      <c r="J237" s="63"/>
    </row>
    <row r="238">
      <c r="B238" s="50"/>
      <c r="C238" s="59"/>
      <c r="E238" s="47"/>
      <c r="H238" s="52"/>
      <c r="I238" s="44"/>
      <c r="J238" s="63"/>
    </row>
    <row r="239">
      <c r="B239" s="50"/>
      <c r="C239" s="59"/>
      <c r="E239" s="47"/>
      <c r="H239" s="52"/>
      <c r="I239" s="44"/>
      <c r="J239" s="63"/>
    </row>
    <row r="240">
      <c r="B240" s="50"/>
      <c r="C240" s="59"/>
      <c r="E240" s="47"/>
      <c r="H240" s="52"/>
      <c r="I240" s="44"/>
      <c r="J240" s="63"/>
    </row>
    <row r="241">
      <c r="B241" s="50"/>
      <c r="C241" s="59"/>
      <c r="E241" s="47"/>
      <c r="H241" s="52"/>
      <c r="I241" s="44"/>
      <c r="J241" s="63"/>
    </row>
    <row r="242">
      <c r="B242" s="50"/>
      <c r="C242" s="59"/>
      <c r="E242" s="47"/>
      <c r="H242" s="52"/>
      <c r="I242" s="44"/>
      <c r="J242" s="63"/>
    </row>
    <row r="243">
      <c r="B243" s="50"/>
      <c r="C243" s="59"/>
      <c r="E243" s="47"/>
      <c r="H243" s="52"/>
      <c r="I243" s="44"/>
      <c r="J243" s="63"/>
    </row>
    <row r="244">
      <c r="B244" s="50"/>
      <c r="C244" s="59"/>
      <c r="E244" s="47"/>
      <c r="H244" s="52"/>
      <c r="I244" s="44"/>
      <c r="J244" s="63"/>
    </row>
    <row r="245">
      <c r="B245" s="50"/>
      <c r="C245" s="59"/>
      <c r="E245" s="47"/>
      <c r="H245" s="52"/>
      <c r="I245" s="44"/>
      <c r="J245" s="63"/>
    </row>
    <row r="246">
      <c r="B246" s="50"/>
      <c r="C246" s="59"/>
      <c r="E246" s="47"/>
      <c r="H246" s="52"/>
      <c r="I246" s="44"/>
      <c r="J246" s="63"/>
    </row>
    <row r="247">
      <c r="B247" s="50"/>
      <c r="C247" s="59"/>
      <c r="E247" s="47"/>
      <c r="H247" s="52"/>
      <c r="I247" s="44"/>
      <c r="J247" s="63"/>
    </row>
    <row r="248">
      <c r="B248" s="50"/>
      <c r="C248" s="59"/>
      <c r="E248" s="47"/>
      <c r="H248" s="52"/>
      <c r="I248" s="44"/>
      <c r="J248" s="63"/>
    </row>
    <row r="249">
      <c r="B249" s="50"/>
      <c r="C249" s="59"/>
      <c r="E249" s="47"/>
      <c r="H249" s="52"/>
      <c r="I249" s="44"/>
      <c r="J249" s="63"/>
    </row>
    <row r="250">
      <c r="B250" s="50"/>
      <c r="C250" s="59"/>
      <c r="E250" s="47"/>
      <c r="H250" s="52"/>
      <c r="I250" s="44"/>
      <c r="J250" s="63"/>
    </row>
    <row r="251">
      <c r="B251" s="50"/>
      <c r="C251" s="59"/>
      <c r="E251" s="47"/>
      <c r="H251" s="52"/>
      <c r="I251" s="44"/>
      <c r="J251" s="63"/>
    </row>
    <row r="252">
      <c r="B252" s="50"/>
      <c r="C252" s="59"/>
      <c r="E252" s="47"/>
      <c r="H252" s="52"/>
      <c r="I252" s="44"/>
      <c r="J252" s="63"/>
    </row>
    <row r="253">
      <c r="B253" s="50"/>
      <c r="C253" s="59"/>
      <c r="E253" s="47"/>
      <c r="H253" s="52"/>
      <c r="I253" s="44"/>
      <c r="J253" s="63"/>
    </row>
    <row r="254">
      <c r="B254" s="50"/>
      <c r="C254" s="59"/>
      <c r="E254" s="47"/>
      <c r="H254" s="52"/>
      <c r="I254" s="44"/>
      <c r="J254" s="63"/>
    </row>
    <row r="255">
      <c r="B255" s="50"/>
      <c r="C255" s="59"/>
      <c r="E255" s="47"/>
      <c r="H255" s="52"/>
      <c r="I255" s="44"/>
      <c r="J255" s="63"/>
    </row>
    <row r="256">
      <c r="B256" s="50"/>
      <c r="C256" s="59"/>
      <c r="E256" s="47"/>
      <c r="H256" s="52"/>
      <c r="I256" s="44"/>
      <c r="J256" s="63"/>
    </row>
    <row r="257">
      <c r="B257" s="50"/>
      <c r="C257" s="59"/>
      <c r="E257" s="47"/>
      <c r="H257" s="52"/>
      <c r="I257" s="44"/>
      <c r="J257" s="63"/>
    </row>
    <row r="258">
      <c r="B258" s="50"/>
      <c r="C258" s="59"/>
      <c r="E258" s="47"/>
      <c r="H258" s="52"/>
      <c r="I258" s="44"/>
      <c r="J258" s="63"/>
    </row>
    <row r="259">
      <c r="B259" s="50"/>
      <c r="C259" s="59"/>
      <c r="E259" s="47"/>
      <c r="H259" s="52"/>
      <c r="I259" s="44"/>
      <c r="J259" s="63"/>
    </row>
    <row r="260">
      <c r="B260" s="50"/>
      <c r="C260" s="59"/>
      <c r="E260" s="47"/>
      <c r="H260" s="52"/>
      <c r="I260" s="44"/>
      <c r="J260" s="63"/>
    </row>
    <row r="261">
      <c r="B261" s="50"/>
      <c r="C261" s="59"/>
      <c r="E261" s="47"/>
      <c r="H261" s="52"/>
      <c r="I261" s="44"/>
      <c r="J261" s="63"/>
    </row>
    <row r="262">
      <c r="B262" s="50"/>
      <c r="C262" s="59"/>
      <c r="E262" s="47"/>
      <c r="H262" s="52"/>
      <c r="I262" s="44"/>
      <c r="J262" s="63"/>
    </row>
    <row r="263">
      <c r="B263" s="50"/>
      <c r="C263" s="59"/>
      <c r="E263" s="47"/>
      <c r="H263" s="52"/>
      <c r="I263" s="44"/>
      <c r="J263" s="63"/>
    </row>
    <row r="264">
      <c r="B264" s="50"/>
      <c r="C264" s="59"/>
      <c r="E264" s="47"/>
      <c r="H264" s="52"/>
      <c r="I264" s="44"/>
      <c r="J264" s="63"/>
    </row>
    <row r="265">
      <c r="B265" s="50"/>
      <c r="C265" s="59"/>
      <c r="E265" s="47"/>
      <c r="H265" s="52"/>
      <c r="I265" s="44"/>
      <c r="J265" s="63"/>
    </row>
    <row r="266">
      <c r="B266" s="50"/>
      <c r="C266" s="59"/>
      <c r="E266" s="47"/>
      <c r="H266" s="52"/>
      <c r="I266" s="44"/>
      <c r="J266" s="63"/>
    </row>
    <row r="267">
      <c r="B267" s="50"/>
      <c r="C267" s="59"/>
      <c r="E267" s="47"/>
      <c r="H267" s="52"/>
      <c r="I267" s="44"/>
      <c r="J267" s="63"/>
    </row>
    <row r="268">
      <c r="B268" s="50"/>
      <c r="C268" s="59"/>
      <c r="E268" s="47"/>
      <c r="H268" s="52"/>
      <c r="I268" s="44"/>
      <c r="J268" s="63"/>
    </row>
    <row r="269">
      <c r="B269" s="50"/>
      <c r="C269" s="59"/>
      <c r="E269" s="47"/>
      <c r="H269" s="52"/>
      <c r="I269" s="44"/>
      <c r="J269" s="63"/>
    </row>
    <row r="270">
      <c r="B270" s="50"/>
      <c r="C270" s="59"/>
      <c r="E270" s="47"/>
      <c r="H270" s="52"/>
      <c r="I270" s="44"/>
      <c r="J270" s="63"/>
    </row>
    <row r="271">
      <c r="B271" s="50"/>
      <c r="C271" s="59"/>
      <c r="E271" s="47"/>
      <c r="H271" s="52"/>
      <c r="I271" s="44"/>
      <c r="J271" s="63"/>
    </row>
    <row r="272">
      <c r="B272" s="50"/>
      <c r="C272" s="59"/>
      <c r="E272" s="47"/>
      <c r="H272" s="52"/>
      <c r="I272" s="44"/>
      <c r="J272" s="63"/>
    </row>
    <row r="273">
      <c r="B273" s="50"/>
      <c r="C273" s="59"/>
      <c r="E273" s="47"/>
      <c r="H273" s="52"/>
      <c r="I273" s="44"/>
      <c r="J273" s="63"/>
    </row>
    <row r="274">
      <c r="B274" s="50"/>
      <c r="C274" s="59"/>
      <c r="E274" s="47"/>
      <c r="H274" s="52"/>
      <c r="I274" s="44"/>
      <c r="J274" s="63"/>
    </row>
    <row r="275">
      <c r="B275" s="50"/>
      <c r="C275" s="59"/>
      <c r="E275" s="47"/>
      <c r="H275" s="52"/>
      <c r="I275" s="44"/>
      <c r="J275" s="63"/>
    </row>
    <row r="276">
      <c r="B276" s="50"/>
      <c r="C276" s="59"/>
      <c r="E276" s="47"/>
      <c r="H276" s="52"/>
      <c r="I276" s="44"/>
      <c r="J276" s="63"/>
    </row>
    <row r="277">
      <c r="B277" s="50"/>
      <c r="C277" s="59"/>
      <c r="E277" s="47"/>
      <c r="H277" s="52"/>
      <c r="I277" s="44"/>
      <c r="J277" s="63"/>
    </row>
    <row r="278">
      <c r="B278" s="50"/>
      <c r="C278" s="59"/>
      <c r="E278" s="47"/>
      <c r="H278" s="52"/>
      <c r="I278" s="44"/>
      <c r="J278" s="63"/>
    </row>
    <row r="279">
      <c r="B279" s="50"/>
      <c r="C279" s="59"/>
      <c r="E279" s="47"/>
      <c r="H279" s="52"/>
      <c r="I279" s="44"/>
      <c r="J279" s="63"/>
    </row>
    <row r="280">
      <c r="B280" s="50"/>
      <c r="C280" s="59"/>
      <c r="E280" s="47"/>
      <c r="H280" s="52"/>
      <c r="I280" s="44"/>
      <c r="J280" s="63"/>
    </row>
    <row r="281">
      <c r="B281" s="50"/>
      <c r="C281" s="59"/>
      <c r="E281" s="47"/>
      <c r="H281" s="52"/>
      <c r="I281" s="44"/>
      <c r="J281" s="63"/>
    </row>
    <row r="282">
      <c r="B282" s="50"/>
      <c r="C282" s="59"/>
      <c r="E282" s="47"/>
      <c r="H282" s="52"/>
      <c r="I282" s="44"/>
      <c r="J282" s="63"/>
    </row>
    <row r="283">
      <c r="B283" s="50"/>
      <c r="C283" s="59"/>
      <c r="E283" s="47"/>
      <c r="H283" s="52"/>
      <c r="I283" s="44"/>
      <c r="J283" s="63"/>
    </row>
    <row r="284">
      <c r="B284" s="50"/>
      <c r="C284" s="59"/>
      <c r="E284" s="47"/>
      <c r="H284" s="52"/>
      <c r="I284" s="44"/>
      <c r="J284" s="63"/>
    </row>
    <row r="285">
      <c r="B285" s="50"/>
      <c r="C285" s="59"/>
      <c r="E285" s="47"/>
      <c r="H285" s="52"/>
      <c r="I285" s="44"/>
      <c r="J285" s="63"/>
    </row>
    <row r="286">
      <c r="B286" s="50"/>
      <c r="C286" s="59"/>
      <c r="E286" s="47"/>
      <c r="H286" s="52"/>
      <c r="I286" s="44"/>
      <c r="J286" s="63"/>
    </row>
    <row r="287">
      <c r="B287" s="50"/>
      <c r="C287" s="59"/>
      <c r="E287" s="47"/>
      <c r="H287" s="52"/>
      <c r="I287" s="44"/>
      <c r="J287" s="63"/>
    </row>
    <row r="288">
      <c r="B288" s="50"/>
      <c r="C288" s="59"/>
      <c r="E288" s="47"/>
      <c r="H288" s="52"/>
      <c r="I288" s="44"/>
      <c r="J288" s="63"/>
    </row>
    <row r="289">
      <c r="B289" s="50"/>
      <c r="C289" s="59"/>
      <c r="E289" s="47"/>
      <c r="H289" s="52"/>
      <c r="I289" s="44"/>
      <c r="J289" s="63"/>
    </row>
    <row r="290">
      <c r="B290" s="50"/>
      <c r="C290" s="59"/>
      <c r="E290" s="47"/>
      <c r="H290" s="52"/>
      <c r="I290" s="44"/>
      <c r="J290" s="63"/>
    </row>
    <row r="291">
      <c r="B291" s="50"/>
      <c r="C291" s="59"/>
      <c r="H291" s="52"/>
      <c r="I291" s="44"/>
      <c r="J291" s="63"/>
    </row>
    <row r="292">
      <c r="B292" s="50"/>
      <c r="C292" s="59"/>
      <c r="H292" s="52"/>
      <c r="I292" s="44"/>
      <c r="J292" s="63"/>
    </row>
    <row r="293">
      <c r="B293" s="50"/>
      <c r="C293" s="59"/>
      <c r="H293" s="52"/>
      <c r="I293" s="44"/>
      <c r="J293" s="63"/>
    </row>
    <row r="294">
      <c r="B294" s="50"/>
      <c r="C294" s="59"/>
      <c r="H294" s="52"/>
      <c r="I294" s="44"/>
      <c r="J294" s="63"/>
    </row>
    <row r="295">
      <c r="B295" s="50"/>
      <c r="C295" s="59"/>
      <c r="H295" s="52"/>
      <c r="I295" s="44"/>
      <c r="J295" s="63"/>
    </row>
    <row r="296">
      <c r="B296" s="50"/>
      <c r="C296" s="59"/>
      <c r="H296" s="52"/>
      <c r="I296" s="44"/>
      <c r="J296" s="63"/>
    </row>
    <row r="297">
      <c r="B297" s="50"/>
      <c r="C297" s="59"/>
      <c r="H297" s="52"/>
      <c r="I297" s="44"/>
      <c r="J297" s="63"/>
    </row>
    <row r="298">
      <c r="B298" s="50"/>
      <c r="C298" s="59"/>
      <c r="H298" s="52"/>
      <c r="I298" s="44"/>
      <c r="J298" s="63"/>
    </row>
    <row r="299">
      <c r="B299" s="50"/>
      <c r="C299" s="59"/>
      <c r="H299" s="52"/>
      <c r="I299" s="44"/>
      <c r="J299" s="63"/>
    </row>
    <row r="300">
      <c r="B300" s="50"/>
      <c r="C300" s="59"/>
      <c r="H300" s="52"/>
      <c r="I300" s="44"/>
      <c r="J300" s="63"/>
    </row>
    <row r="301">
      <c r="B301" s="50"/>
      <c r="C301" s="59"/>
      <c r="H301" s="52"/>
      <c r="I301" s="44"/>
      <c r="J301" s="63"/>
    </row>
    <row r="302">
      <c r="B302" s="50"/>
      <c r="C302" s="59"/>
      <c r="H302" s="52"/>
      <c r="I302" s="44"/>
      <c r="J302" s="63"/>
    </row>
    <row r="303">
      <c r="B303" s="50"/>
      <c r="C303" s="59"/>
      <c r="H303" s="52"/>
      <c r="I303" s="44"/>
      <c r="J303" s="63"/>
    </row>
    <row r="304">
      <c r="B304" s="50"/>
      <c r="C304" s="59"/>
      <c r="H304" s="52"/>
      <c r="I304" s="44"/>
      <c r="J304" s="63"/>
    </row>
    <row r="305">
      <c r="B305" s="50"/>
      <c r="C305" s="59"/>
      <c r="H305" s="52"/>
      <c r="I305" s="44"/>
      <c r="J305" s="63"/>
    </row>
    <row r="306">
      <c r="B306" s="50"/>
      <c r="C306" s="59"/>
      <c r="H306" s="52"/>
      <c r="I306" s="44"/>
      <c r="J306" s="63"/>
    </row>
    <row r="307">
      <c r="B307" s="50"/>
      <c r="C307" s="59"/>
      <c r="H307" s="52"/>
      <c r="I307" s="44"/>
      <c r="J307" s="63"/>
    </row>
    <row r="308">
      <c r="B308" s="50"/>
      <c r="C308" s="59"/>
      <c r="H308" s="52"/>
      <c r="I308" s="44"/>
      <c r="J308" s="63"/>
    </row>
    <row r="309">
      <c r="B309" s="50"/>
      <c r="C309" s="59"/>
      <c r="H309" s="52"/>
      <c r="I309" s="44"/>
      <c r="J309" s="63"/>
    </row>
    <row r="310">
      <c r="B310" s="50"/>
      <c r="C310" s="59"/>
      <c r="H310" s="52"/>
      <c r="I310" s="44"/>
      <c r="J310" s="63"/>
    </row>
    <row r="311">
      <c r="B311" s="50"/>
      <c r="C311" s="59"/>
      <c r="H311" s="52"/>
      <c r="I311" s="44"/>
      <c r="J311" s="63"/>
    </row>
    <row r="312">
      <c r="B312" s="50"/>
      <c r="C312" s="59"/>
      <c r="H312" s="52"/>
      <c r="I312" s="44"/>
      <c r="J312" s="63"/>
    </row>
    <row r="313">
      <c r="B313" s="50"/>
      <c r="C313" s="59"/>
      <c r="H313" s="52"/>
      <c r="I313" s="44"/>
      <c r="J313" s="63"/>
    </row>
    <row r="314">
      <c r="B314" s="50"/>
      <c r="C314" s="59"/>
      <c r="H314" s="52"/>
      <c r="I314" s="44"/>
      <c r="J314" s="63"/>
    </row>
    <row r="315">
      <c r="B315" s="50"/>
      <c r="C315" s="59"/>
      <c r="H315" s="52"/>
      <c r="I315" s="44"/>
      <c r="J315" s="63"/>
    </row>
    <row r="316">
      <c r="B316" s="50"/>
      <c r="C316" s="59"/>
      <c r="H316" s="52"/>
      <c r="I316" s="44"/>
      <c r="J316" s="63"/>
    </row>
    <row r="317">
      <c r="B317" s="50"/>
      <c r="C317" s="59"/>
      <c r="H317" s="52"/>
      <c r="I317" s="44"/>
      <c r="J317" s="63"/>
    </row>
    <row r="318">
      <c r="B318" s="50"/>
      <c r="C318" s="59"/>
      <c r="H318" s="52"/>
      <c r="I318" s="44"/>
      <c r="J318" s="63"/>
    </row>
    <row r="319">
      <c r="B319" s="50"/>
      <c r="C319" s="59"/>
      <c r="H319" s="52"/>
      <c r="I319" s="44"/>
      <c r="J319" s="63"/>
    </row>
    <row r="320">
      <c r="B320" s="50"/>
      <c r="C320" s="59"/>
      <c r="H320" s="52"/>
      <c r="I320" s="44"/>
      <c r="J320" s="63"/>
    </row>
    <row r="321">
      <c r="B321" s="50"/>
      <c r="C321" s="59"/>
      <c r="H321" s="52"/>
      <c r="I321" s="44"/>
      <c r="J321" s="63"/>
    </row>
    <row r="322">
      <c r="B322" s="50"/>
      <c r="C322" s="59"/>
      <c r="H322" s="52"/>
      <c r="I322" s="44"/>
      <c r="J322" s="63"/>
    </row>
    <row r="323">
      <c r="B323" s="50"/>
      <c r="C323" s="59"/>
      <c r="H323" s="52"/>
      <c r="I323" s="44"/>
      <c r="J323" s="63"/>
    </row>
    <row r="324">
      <c r="B324" s="50"/>
      <c r="C324" s="59"/>
      <c r="H324" s="52"/>
      <c r="I324" s="44"/>
      <c r="J324" s="63"/>
    </row>
    <row r="325">
      <c r="B325" s="50"/>
      <c r="C325" s="59"/>
      <c r="H325" s="52"/>
      <c r="I325" s="44"/>
      <c r="J325" s="63"/>
    </row>
    <row r="326">
      <c r="B326" s="50"/>
      <c r="C326" s="59"/>
      <c r="H326" s="52"/>
      <c r="I326" s="44"/>
      <c r="J326" s="63"/>
    </row>
    <row r="327">
      <c r="B327" s="50"/>
      <c r="C327" s="59"/>
      <c r="H327" s="52"/>
      <c r="I327" s="44"/>
      <c r="J327" s="63"/>
    </row>
    <row r="328">
      <c r="B328" s="50"/>
      <c r="C328" s="59"/>
      <c r="H328" s="52"/>
      <c r="I328" s="44"/>
      <c r="J328" s="63"/>
    </row>
    <row r="329">
      <c r="B329" s="50"/>
      <c r="C329" s="59"/>
      <c r="H329" s="52"/>
      <c r="I329" s="44"/>
      <c r="J329" s="63"/>
    </row>
    <row r="330">
      <c r="B330" s="50"/>
      <c r="C330" s="59"/>
      <c r="H330" s="52"/>
      <c r="I330" s="44"/>
      <c r="J330" s="63"/>
    </row>
    <row r="331">
      <c r="B331" s="50"/>
      <c r="C331" s="59"/>
      <c r="H331" s="52"/>
      <c r="I331" s="44"/>
      <c r="J331" s="63"/>
    </row>
    <row r="332">
      <c r="B332" s="50"/>
      <c r="C332" s="59"/>
      <c r="H332" s="52"/>
      <c r="I332" s="44"/>
      <c r="J332" s="63"/>
    </row>
    <row r="333">
      <c r="B333" s="50"/>
      <c r="C333" s="59"/>
      <c r="H333" s="52"/>
      <c r="I333" s="44"/>
      <c r="J333" s="63"/>
    </row>
    <row r="334">
      <c r="B334" s="50"/>
      <c r="C334" s="59"/>
      <c r="H334" s="52"/>
      <c r="I334" s="44"/>
      <c r="J334" s="63"/>
    </row>
    <row r="335">
      <c r="B335" s="50"/>
      <c r="C335" s="59"/>
      <c r="H335" s="52"/>
      <c r="I335" s="44"/>
      <c r="J335" s="63"/>
    </row>
    <row r="336">
      <c r="B336" s="50"/>
      <c r="C336" s="59"/>
      <c r="H336" s="52"/>
      <c r="I336" s="44"/>
      <c r="J336" s="63"/>
    </row>
    <row r="337">
      <c r="B337" s="50"/>
      <c r="C337" s="59"/>
      <c r="H337" s="52"/>
      <c r="I337" s="44"/>
      <c r="J337" s="63"/>
    </row>
    <row r="338">
      <c r="B338" s="50"/>
      <c r="C338" s="59"/>
      <c r="H338" s="52"/>
      <c r="I338" s="44"/>
      <c r="J338" s="63"/>
    </row>
    <row r="339">
      <c r="B339" s="50"/>
      <c r="C339" s="59"/>
      <c r="H339" s="52"/>
      <c r="I339" s="44"/>
      <c r="J339" s="63"/>
    </row>
    <row r="340">
      <c r="B340" s="50"/>
      <c r="C340" s="59"/>
      <c r="H340" s="52"/>
      <c r="I340" s="44"/>
      <c r="J340" s="63"/>
    </row>
    <row r="341">
      <c r="B341" s="50"/>
      <c r="C341" s="59"/>
      <c r="H341" s="52"/>
      <c r="I341" s="44"/>
      <c r="J341" s="63"/>
    </row>
    <row r="342">
      <c r="B342" s="50"/>
      <c r="C342" s="59"/>
      <c r="H342" s="52"/>
      <c r="I342" s="44"/>
      <c r="J342" s="63"/>
    </row>
    <row r="343">
      <c r="B343" s="50"/>
      <c r="C343" s="59"/>
      <c r="H343" s="52"/>
      <c r="I343" s="44"/>
      <c r="J343" s="63"/>
    </row>
    <row r="344">
      <c r="B344" s="50"/>
      <c r="C344" s="59"/>
      <c r="H344" s="52"/>
      <c r="I344" s="44"/>
      <c r="J344" s="63"/>
    </row>
    <row r="345">
      <c r="B345" s="50"/>
      <c r="C345" s="59"/>
      <c r="H345" s="52"/>
      <c r="I345" s="44"/>
      <c r="J345" s="63"/>
    </row>
    <row r="346">
      <c r="B346" s="50"/>
      <c r="C346" s="59"/>
      <c r="H346" s="52"/>
      <c r="I346" s="44"/>
      <c r="J346" s="63"/>
    </row>
    <row r="347">
      <c r="B347" s="50"/>
      <c r="C347" s="59"/>
      <c r="H347" s="52"/>
      <c r="I347" s="44"/>
      <c r="J347" s="63"/>
    </row>
    <row r="348">
      <c r="B348" s="50"/>
      <c r="C348" s="59"/>
      <c r="H348" s="52"/>
      <c r="I348" s="44"/>
      <c r="J348" s="63"/>
    </row>
    <row r="349">
      <c r="B349" s="50"/>
      <c r="C349" s="59"/>
      <c r="H349" s="52"/>
      <c r="I349" s="44"/>
      <c r="J349" s="63"/>
    </row>
    <row r="350">
      <c r="B350" s="50"/>
      <c r="C350" s="59"/>
      <c r="H350" s="52"/>
      <c r="I350" s="44"/>
      <c r="J350" s="63"/>
    </row>
    <row r="351">
      <c r="B351" s="50"/>
      <c r="C351" s="59"/>
      <c r="H351" s="52"/>
      <c r="I351" s="44"/>
      <c r="J351" s="63"/>
    </row>
    <row r="352">
      <c r="B352" s="50"/>
      <c r="C352" s="59"/>
      <c r="H352" s="52"/>
      <c r="I352" s="44"/>
      <c r="J352" s="63"/>
    </row>
    <row r="353">
      <c r="B353" s="50"/>
      <c r="C353" s="59"/>
      <c r="H353" s="52"/>
      <c r="I353" s="44"/>
      <c r="J353" s="63"/>
    </row>
    <row r="354">
      <c r="B354" s="50"/>
      <c r="C354" s="59"/>
      <c r="H354" s="52"/>
      <c r="I354" s="44"/>
      <c r="J354" s="63"/>
    </row>
    <row r="355">
      <c r="B355" s="50"/>
      <c r="C355" s="59"/>
      <c r="H355" s="52"/>
      <c r="I355" s="44"/>
      <c r="J355" s="63"/>
    </row>
    <row r="356">
      <c r="B356" s="50"/>
      <c r="C356" s="59"/>
      <c r="H356" s="52"/>
      <c r="I356" s="44"/>
      <c r="J356" s="63"/>
    </row>
    <row r="357">
      <c r="B357" s="50"/>
      <c r="C357" s="59"/>
      <c r="H357" s="52"/>
      <c r="I357" s="44"/>
      <c r="J357" s="63"/>
    </row>
    <row r="358">
      <c r="B358" s="50"/>
      <c r="C358" s="59"/>
      <c r="H358" s="52"/>
      <c r="I358" s="44"/>
      <c r="J358" s="63"/>
    </row>
    <row r="359">
      <c r="B359" s="50"/>
      <c r="C359" s="59"/>
      <c r="H359" s="52"/>
      <c r="I359" s="44"/>
      <c r="J359" s="63"/>
    </row>
    <row r="360">
      <c r="B360" s="50"/>
      <c r="C360" s="59"/>
      <c r="H360" s="52"/>
      <c r="I360" s="44"/>
      <c r="J360" s="63"/>
    </row>
    <row r="361">
      <c r="B361" s="50"/>
      <c r="C361" s="59"/>
      <c r="H361" s="52"/>
      <c r="I361" s="44"/>
      <c r="J361" s="63"/>
    </row>
    <row r="362">
      <c r="B362" s="50"/>
      <c r="C362" s="59"/>
      <c r="H362" s="52"/>
      <c r="I362" s="44"/>
      <c r="J362" s="63"/>
    </row>
    <row r="363">
      <c r="B363" s="50"/>
      <c r="C363" s="59"/>
      <c r="H363" s="52"/>
      <c r="I363" s="44"/>
      <c r="J363" s="63"/>
    </row>
    <row r="364">
      <c r="B364" s="50"/>
      <c r="C364" s="59"/>
      <c r="H364" s="52"/>
      <c r="I364" s="44"/>
      <c r="J364" s="63"/>
    </row>
    <row r="365">
      <c r="B365" s="50"/>
      <c r="C365" s="59"/>
      <c r="H365" s="52"/>
      <c r="I365" s="44"/>
      <c r="J365" s="63"/>
    </row>
    <row r="366">
      <c r="B366" s="50"/>
      <c r="C366" s="59"/>
      <c r="H366" s="52"/>
      <c r="I366" s="44"/>
      <c r="J366" s="63"/>
    </row>
    <row r="367">
      <c r="B367" s="50"/>
      <c r="C367" s="59"/>
      <c r="H367" s="52"/>
      <c r="I367" s="44"/>
      <c r="J367" s="63"/>
    </row>
    <row r="368">
      <c r="B368" s="50"/>
      <c r="C368" s="59"/>
      <c r="H368" s="52"/>
      <c r="I368" s="44"/>
      <c r="J368" s="63"/>
    </row>
    <row r="369">
      <c r="B369" s="50"/>
      <c r="C369" s="59"/>
      <c r="H369" s="52"/>
      <c r="I369" s="44"/>
      <c r="J369" s="63"/>
    </row>
    <row r="370">
      <c r="B370" s="50"/>
      <c r="C370" s="59"/>
      <c r="H370" s="52"/>
      <c r="I370" s="44"/>
      <c r="J370" s="63"/>
    </row>
    <row r="371">
      <c r="B371" s="50"/>
      <c r="C371" s="59"/>
      <c r="H371" s="52"/>
      <c r="I371" s="44"/>
      <c r="J371" s="63"/>
    </row>
    <row r="372">
      <c r="B372" s="50"/>
      <c r="C372" s="59"/>
      <c r="H372" s="52"/>
      <c r="I372" s="44"/>
      <c r="J372" s="63"/>
    </row>
    <row r="373">
      <c r="B373" s="50"/>
      <c r="C373" s="59"/>
      <c r="H373" s="52"/>
      <c r="I373" s="44"/>
      <c r="J373" s="63"/>
    </row>
    <row r="374">
      <c r="B374" s="50"/>
      <c r="C374" s="59"/>
      <c r="H374" s="52"/>
      <c r="I374" s="44"/>
      <c r="J374" s="63"/>
    </row>
    <row r="375">
      <c r="B375" s="50"/>
      <c r="C375" s="59"/>
      <c r="H375" s="52"/>
      <c r="I375" s="44"/>
      <c r="J375" s="63"/>
    </row>
    <row r="376">
      <c r="B376" s="50"/>
      <c r="C376" s="59"/>
      <c r="H376" s="52"/>
      <c r="I376" s="44"/>
      <c r="J376" s="63"/>
    </row>
    <row r="377">
      <c r="B377" s="50"/>
      <c r="C377" s="59"/>
      <c r="H377" s="52"/>
      <c r="I377" s="44"/>
      <c r="J377" s="63"/>
    </row>
    <row r="378">
      <c r="B378" s="50"/>
      <c r="C378" s="59"/>
      <c r="H378" s="52"/>
      <c r="I378" s="44"/>
      <c r="J378" s="63"/>
    </row>
    <row r="379">
      <c r="B379" s="50"/>
      <c r="C379" s="59"/>
      <c r="H379" s="52"/>
      <c r="I379" s="44"/>
      <c r="J379" s="63"/>
    </row>
    <row r="380">
      <c r="B380" s="50"/>
      <c r="C380" s="59"/>
      <c r="H380" s="52"/>
      <c r="I380" s="44"/>
      <c r="J380" s="63"/>
    </row>
    <row r="381">
      <c r="B381" s="50"/>
      <c r="C381" s="59"/>
      <c r="H381" s="52"/>
      <c r="I381" s="44"/>
      <c r="J381" s="63"/>
    </row>
    <row r="382">
      <c r="B382" s="50"/>
      <c r="C382" s="59"/>
      <c r="H382" s="52"/>
      <c r="I382" s="44"/>
      <c r="J382" s="63"/>
    </row>
    <row r="383">
      <c r="B383" s="50"/>
      <c r="C383" s="59"/>
      <c r="H383" s="52"/>
      <c r="I383" s="44"/>
      <c r="J383" s="63"/>
    </row>
    <row r="384">
      <c r="B384" s="50"/>
      <c r="C384" s="59"/>
      <c r="H384" s="52"/>
      <c r="I384" s="44"/>
      <c r="J384" s="63"/>
    </row>
    <row r="385">
      <c r="B385" s="50"/>
      <c r="C385" s="59"/>
      <c r="H385" s="52"/>
      <c r="I385" s="44"/>
      <c r="J385" s="63"/>
    </row>
    <row r="386">
      <c r="B386" s="50"/>
      <c r="C386" s="59"/>
      <c r="H386" s="52"/>
      <c r="I386" s="44"/>
      <c r="J386" s="63"/>
    </row>
    <row r="387">
      <c r="B387" s="50"/>
      <c r="C387" s="59"/>
      <c r="H387" s="52"/>
      <c r="I387" s="44"/>
      <c r="J387" s="63"/>
    </row>
    <row r="388">
      <c r="B388" s="50"/>
      <c r="C388" s="59"/>
      <c r="H388" s="52"/>
      <c r="I388" s="44"/>
      <c r="J388" s="63"/>
    </row>
    <row r="389">
      <c r="B389" s="50"/>
      <c r="C389" s="59"/>
      <c r="H389" s="52"/>
      <c r="I389" s="44"/>
      <c r="J389" s="63"/>
    </row>
    <row r="390">
      <c r="B390" s="50"/>
      <c r="C390" s="59"/>
      <c r="H390" s="52"/>
      <c r="I390" s="44"/>
      <c r="J390" s="63"/>
    </row>
    <row r="391">
      <c r="B391" s="50"/>
      <c r="C391" s="59"/>
      <c r="H391" s="52"/>
      <c r="I391" s="44"/>
      <c r="J391" s="63"/>
    </row>
    <row r="392">
      <c r="B392" s="50"/>
      <c r="C392" s="59"/>
      <c r="H392" s="52"/>
      <c r="I392" s="44"/>
      <c r="J392" s="63"/>
    </row>
    <row r="393">
      <c r="B393" s="50"/>
      <c r="C393" s="59"/>
      <c r="H393" s="52"/>
      <c r="I393" s="44"/>
      <c r="J393" s="63"/>
    </row>
    <row r="394">
      <c r="B394" s="50"/>
      <c r="C394" s="59"/>
      <c r="H394" s="52"/>
      <c r="I394" s="44"/>
      <c r="J394" s="63"/>
    </row>
    <row r="395">
      <c r="B395" s="50"/>
      <c r="C395" s="59"/>
      <c r="H395" s="52"/>
      <c r="I395" s="44"/>
      <c r="J395" s="63"/>
    </row>
    <row r="396">
      <c r="B396" s="50"/>
      <c r="C396" s="59"/>
      <c r="H396" s="52"/>
      <c r="I396" s="44"/>
      <c r="J396" s="63"/>
    </row>
    <row r="397">
      <c r="B397" s="50"/>
      <c r="C397" s="59"/>
      <c r="H397" s="52"/>
      <c r="I397" s="44"/>
      <c r="J397" s="63"/>
    </row>
    <row r="398">
      <c r="B398" s="50"/>
      <c r="C398" s="59"/>
      <c r="H398" s="52"/>
      <c r="I398" s="44"/>
      <c r="J398" s="63"/>
    </row>
    <row r="399">
      <c r="B399" s="50"/>
      <c r="C399" s="59"/>
      <c r="H399" s="52"/>
      <c r="I399" s="44"/>
      <c r="J399" s="63"/>
    </row>
    <row r="400">
      <c r="B400" s="50"/>
      <c r="C400" s="59"/>
      <c r="H400" s="52"/>
      <c r="I400" s="44"/>
      <c r="J400" s="63"/>
    </row>
    <row r="401">
      <c r="B401" s="50"/>
      <c r="C401" s="59"/>
      <c r="H401" s="52"/>
      <c r="I401" s="44"/>
      <c r="J401" s="63"/>
    </row>
    <row r="402">
      <c r="B402" s="50"/>
      <c r="C402" s="59"/>
      <c r="H402" s="52"/>
      <c r="I402" s="44"/>
      <c r="J402" s="63"/>
    </row>
    <row r="403">
      <c r="B403" s="50"/>
      <c r="C403" s="59"/>
      <c r="H403" s="52"/>
      <c r="I403" s="44"/>
      <c r="J403" s="63"/>
    </row>
    <row r="404">
      <c r="B404" s="50"/>
      <c r="C404" s="59"/>
      <c r="H404" s="52"/>
      <c r="I404" s="44"/>
      <c r="J404" s="63"/>
    </row>
    <row r="405">
      <c r="B405" s="50"/>
      <c r="C405" s="59"/>
      <c r="H405" s="52"/>
      <c r="I405" s="44"/>
      <c r="J405" s="63"/>
    </row>
    <row r="406">
      <c r="B406" s="50"/>
      <c r="C406" s="59"/>
      <c r="H406" s="52"/>
      <c r="I406" s="44"/>
      <c r="J406" s="63"/>
    </row>
    <row r="407">
      <c r="B407" s="50"/>
      <c r="C407" s="59"/>
      <c r="H407" s="52"/>
      <c r="I407" s="44"/>
      <c r="J407" s="63"/>
    </row>
    <row r="408">
      <c r="B408" s="50"/>
      <c r="C408" s="59"/>
      <c r="H408" s="52"/>
      <c r="I408" s="44"/>
      <c r="J408" s="63"/>
    </row>
    <row r="409">
      <c r="B409" s="50"/>
      <c r="C409" s="59"/>
      <c r="H409" s="52"/>
      <c r="I409" s="44"/>
      <c r="J409" s="63"/>
    </row>
    <row r="410">
      <c r="B410" s="50"/>
      <c r="C410" s="59"/>
      <c r="H410" s="52"/>
      <c r="I410" s="44"/>
      <c r="J410" s="63"/>
    </row>
    <row r="411">
      <c r="B411" s="50"/>
      <c r="C411" s="59"/>
      <c r="H411" s="52"/>
      <c r="I411" s="44"/>
      <c r="J411" s="63"/>
    </row>
    <row r="412">
      <c r="B412" s="50"/>
      <c r="C412" s="59"/>
      <c r="H412" s="52"/>
      <c r="I412" s="44"/>
      <c r="J412" s="63"/>
    </row>
    <row r="413">
      <c r="B413" s="50"/>
      <c r="C413" s="59"/>
      <c r="H413" s="52"/>
      <c r="I413" s="44"/>
      <c r="J413" s="63"/>
    </row>
    <row r="414">
      <c r="B414" s="50"/>
      <c r="C414" s="59"/>
      <c r="H414" s="52"/>
      <c r="I414" s="44"/>
      <c r="J414" s="63"/>
    </row>
    <row r="415">
      <c r="B415" s="50"/>
      <c r="C415" s="59"/>
      <c r="H415" s="52"/>
      <c r="I415" s="44"/>
      <c r="J415" s="63"/>
    </row>
    <row r="416">
      <c r="B416" s="50"/>
      <c r="C416" s="59"/>
      <c r="H416" s="52"/>
      <c r="I416" s="44"/>
      <c r="J416" s="63"/>
    </row>
    <row r="417">
      <c r="B417" s="50"/>
      <c r="C417" s="59"/>
      <c r="H417" s="52"/>
      <c r="I417" s="44"/>
      <c r="J417" s="63"/>
    </row>
    <row r="418">
      <c r="B418" s="50"/>
      <c r="C418" s="59"/>
      <c r="H418" s="52"/>
      <c r="I418" s="44"/>
      <c r="J418" s="63"/>
    </row>
    <row r="419">
      <c r="B419" s="50"/>
      <c r="C419" s="59"/>
      <c r="H419" s="52"/>
      <c r="I419" s="44"/>
      <c r="J419" s="63"/>
    </row>
    <row r="420">
      <c r="B420" s="50"/>
      <c r="C420" s="59"/>
      <c r="H420" s="52"/>
      <c r="I420" s="44"/>
      <c r="J420" s="63"/>
    </row>
    <row r="421">
      <c r="B421" s="50"/>
      <c r="C421" s="59"/>
      <c r="H421" s="52"/>
      <c r="I421" s="44"/>
      <c r="J421" s="63"/>
    </row>
    <row r="422">
      <c r="B422" s="50"/>
      <c r="C422" s="59"/>
      <c r="H422" s="52"/>
      <c r="I422" s="44"/>
      <c r="J422" s="63"/>
    </row>
    <row r="423">
      <c r="B423" s="50"/>
      <c r="C423" s="59"/>
      <c r="H423" s="52"/>
      <c r="I423" s="44"/>
      <c r="J423" s="63"/>
    </row>
    <row r="424">
      <c r="B424" s="50"/>
      <c r="C424" s="59"/>
      <c r="H424" s="52"/>
      <c r="I424" s="44"/>
      <c r="J424" s="63"/>
    </row>
    <row r="425">
      <c r="B425" s="50"/>
      <c r="C425" s="59"/>
      <c r="H425" s="52"/>
      <c r="I425" s="44"/>
      <c r="J425" s="63"/>
    </row>
    <row r="426">
      <c r="B426" s="50"/>
      <c r="C426" s="59"/>
      <c r="H426" s="52"/>
      <c r="I426" s="44"/>
      <c r="J426" s="63"/>
    </row>
    <row r="427">
      <c r="B427" s="50"/>
      <c r="C427" s="59"/>
      <c r="H427" s="52"/>
      <c r="I427" s="44"/>
      <c r="J427" s="63"/>
    </row>
    <row r="428">
      <c r="B428" s="50"/>
      <c r="C428" s="59"/>
      <c r="H428" s="52"/>
      <c r="I428" s="44"/>
      <c r="J428" s="63"/>
    </row>
    <row r="429">
      <c r="B429" s="50"/>
      <c r="C429" s="59"/>
      <c r="H429" s="52"/>
      <c r="I429" s="44"/>
      <c r="J429" s="63"/>
    </row>
    <row r="430">
      <c r="B430" s="50"/>
      <c r="C430" s="59"/>
      <c r="H430" s="52"/>
      <c r="I430" s="44"/>
      <c r="J430" s="63"/>
    </row>
    <row r="431">
      <c r="B431" s="50"/>
      <c r="C431" s="59"/>
      <c r="H431" s="52"/>
      <c r="I431" s="44"/>
      <c r="J431" s="63"/>
    </row>
    <row r="432">
      <c r="B432" s="50"/>
      <c r="C432" s="59"/>
      <c r="H432" s="52"/>
      <c r="I432" s="44"/>
      <c r="J432" s="63"/>
    </row>
    <row r="433">
      <c r="B433" s="50"/>
      <c r="C433" s="59"/>
      <c r="H433" s="52"/>
      <c r="I433" s="44"/>
      <c r="J433" s="63"/>
    </row>
    <row r="434">
      <c r="B434" s="50"/>
      <c r="C434" s="59"/>
      <c r="H434" s="52"/>
      <c r="I434" s="44"/>
      <c r="J434" s="63"/>
    </row>
    <row r="435">
      <c r="B435" s="50"/>
      <c r="C435" s="59"/>
      <c r="H435" s="52"/>
      <c r="I435" s="44"/>
      <c r="J435" s="63"/>
    </row>
    <row r="436">
      <c r="B436" s="50"/>
      <c r="C436" s="59"/>
      <c r="H436" s="52"/>
      <c r="I436" s="44"/>
      <c r="J436" s="63"/>
    </row>
    <row r="437">
      <c r="B437" s="50"/>
      <c r="C437" s="59"/>
      <c r="H437" s="52"/>
      <c r="I437" s="44"/>
      <c r="J437" s="63"/>
    </row>
    <row r="438">
      <c r="B438" s="50"/>
      <c r="C438" s="59"/>
      <c r="H438" s="52"/>
      <c r="I438" s="44"/>
      <c r="J438" s="63"/>
    </row>
    <row r="439">
      <c r="B439" s="50"/>
      <c r="C439" s="59"/>
      <c r="H439" s="52"/>
      <c r="I439" s="44"/>
      <c r="J439" s="63"/>
    </row>
    <row r="440">
      <c r="B440" s="50"/>
      <c r="C440" s="59"/>
      <c r="H440" s="52"/>
      <c r="I440" s="44"/>
      <c r="J440" s="63"/>
    </row>
    <row r="441">
      <c r="B441" s="50"/>
      <c r="C441" s="59"/>
      <c r="H441" s="52"/>
      <c r="I441" s="44"/>
      <c r="J441" s="63"/>
    </row>
    <row r="442">
      <c r="B442" s="50"/>
      <c r="C442" s="59"/>
      <c r="H442" s="52"/>
      <c r="I442" s="44"/>
      <c r="J442" s="63"/>
    </row>
    <row r="443">
      <c r="B443" s="50"/>
      <c r="C443" s="59"/>
      <c r="H443" s="52"/>
      <c r="I443" s="44"/>
      <c r="J443" s="63"/>
    </row>
    <row r="444">
      <c r="B444" s="50"/>
      <c r="C444" s="59"/>
      <c r="H444" s="52"/>
      <c r="I444" s="44"/>
      <c r="J444" s="63"/>
    </row>
    <row r="445">
      <c r="B445" s="50"/>
      <c r="C445" s="59"/>
      <c r="H445" s="52"/>
      <c r="I445" s="44"/>
      <c r="J445" s="63"/>
    </row>
    <row r="446">
      <c r="B446" s="50"/>
      <c r="C446" s="59"/>
      <c r="H446" s="52"/>
      <c r="I446" s="44"/>
      <c r="J446" s="63"/>
    </row>
    <row r="447">
      <c r="B447" s="50"/>
      <c r="C447" s="59"/>
      <c r="H447" s="52"/>
      <c r="I447" s="44"/>
      <c r="J447" s="63"/>
    </row>
    <row r="448">
      <c r="B448" s="50"/>
      <c r="C448" s="59"/>
      <c r="H448" s="52"/>
      <c r="I448" s="44"/>
      <c r="J448" s="63"/>
    </row>
    <row r="449">
      <c r="B449" s="50"/>
      <c r="C449" s="59"/>
      <c r="H449" s="52"/>
      <c r="I449" s="44"/>
      <c r="J449" s="63"/>
    </row>
    <row r="450">
      <c r="B450" s="50"/>
      <c r="C450" s="59"/>
      <c r="H450" s="52"/>
      <c r="I450" s="44"/>
      <c r="J450" s="63"/>
    </row>
    <row r="451">
      <c r="B451" s="50"/>
      <c r="C451" s="59"/>
      <c r="H451" s="52"/>
      <c r="I451" s="44"/>
      <c r="J451" s="63"/>
    </row>
    <row r="452">
      <c r="B452" s="50"/>
      <c r="C452" s="59"/>
      <c r="H452" s="52"/>
      <c r="I452" s="44"/>
      <c r="J452" s="63"/>
    </row>
    <row r="453">
      <c r="B453" s="50"/>
      <c r="C453" s="59"/>
      <c r="H453" s="52"/>
      <c r="I453" s="44"/>
      <c r="J453" s="63"/>
    </row>
    <row r="454">
      <c r="B454" s="50"/>
      <c r="C454" s="59"/>
      <c r="H454" s="52"/>
      <c r="I454" s="44"/>
      <c r="J454" s="63"/>
    </row>
    <row r="455">
      <c r="B455" s="50"/>
      <c r="C455" s="59"/>
      <c r="H455" s="52"/>
      <c r="I455" s="44"/>
      <c r="J455" s="63"/>
    </row>
    <row r="456">
      <c r="B456" s="50"/>
      <c r="C456" s="59"/>
      <c r="H456" s="52"/>
      <c r="I456" s="44"/>
      <c r="J456" s="63"/>
    </row>
    <row r="457">
      <c r="B457" s="50"/>
      <c r="C457" s="59"/>
      <c r="H457" s="52"/>
      <c r="I457" s="44"/>
      <c r="J457" s="63"/>
    </row>
    <row r="458">
      <c r="B458" s="50"/>
      <c r="C458" s="59"/>
      <c r="H458" s="52"/>
      <c r="I458" s="44"/>
      <c r="J458" s="63"/>
    </row>
    <row r="459">
      <c r="B459" s="50"/>
      <c r="C459" s="59"/>
      <c r="H459" s="52"/>
      <c r="I459" s="44"/>
      <c r="J459" s="63"/>
    </row>
    <row r="460">
      <c r="B460" s="50"/>
      <c r="C460" s="59"/>
      <c r="H460" s="52"/>
      <c r="I460" s="44"/>
      <c r="J460" s="63"/>
    </row>
    <row r="461">
      <c r="B461" s="50"/>
      <c r="C461" s="59"/>
      <c r="H461" s="52"/>
      <c r="I461" s="44"/>
      <c r="J461" s="63"/>
    </row>
    <row r="462">
      <c r="B462" s="50"/>
      <c r="C462" s="59"/>
      <c r="H462" s="52"/>
      <c r="I462" s="44"/>
      <c r="J462" s="63"/>
    </row>
    <row r="463">
      <c r="B463" s="50"/>
      <c r="C463" s="59"/>
      <c r="H463" s="52"/>
      <c r="I463" s="44"/>
      <c r="J463" s="63"/>
    </row>
    <row r="464">
      <c r="B464" s="50"/>
      <c r="C464" s="59"/>
      <c r="H464" s="52"/>
      <c r="I464" s="44"/>
      <c r="J464" s="63"/>
    </row>
    <row r="465">
      <c r="B465" s="50"/>
      <c r="C465" s="59"/>
      <c r="H465" s="52"/>
      <c r="I465" s="44"/>
      <c r="J465" s="63"/>
    </row>
    <row r="466">
      <c r="B466" s="50"/>
      <c r="C466" s="59"/>
      <c r="H466" s="52"/>
      <c r="I466" s="44"/>
      <c r="J466" s="63"/>
    </row>
    <row r="467">
      <c r="B467" s="50"/>
      <c r="C467" s="59"/>
      <c r="H467" s="52"/>
      <c r="I467" s="44"/>
      <c r="J467" s="63"/>
    </row>
    <row r="468">
      <c r="B468" s="50"/>
      <c r="C468" s="59"/>
      <c r="H468" s="52"/>
      <c r="I468" s="44"/>
      <c r="J468" s="63"/>
    </row>
    <row r="469">
      <c r="B469" s="50"/>
      <c r="C469" s="59"/>
      <c r="H469" s="52"/>
      <c r="I469" s="44"/>
      <c r="J469" s="63"/>
    </row>
    <row r="470">
      <c r="B470" s="50"/>
      <c r="C470" s="59"/>
      <c r="H470" s="52"/>
      <c r="I470" s="44"/>
      <c r="J470" s="63"/>
    </row>
    <row r="471">
      <c r="B471" s="50"/>
      <c r="C471" s="59"/>
      <c r="H471" s="52"/>
      <c r="I471" s="44"/>
      <c r="J471" s="63"/>
    </row>
    <row r="472">
      <c r="B472" s="50"/>
      <c r="C472" s="59"/>
      <c r="H472" s="52"/>
      <c r="I472" s="44"/>
      <c r="J472" s="63"/>
    </row>
    <row r="473">
      <c r="B473" s="50"/>
      <c r="C473" s="59"/>
      <c r="H473" s="52"/>
      <c r="I473" s="44"/>
      <c r="J473" s="63"/>
    </row>
    <row r="474">
      <c r="B474" s="50"/>
      <c r="C474" s="59"/>
      <c r="H474" s="52"/>
      <c r="I474" s="44"/>
      <c r="J474" s="63"/>
    </row>
    <row r="475">
      <c r="B475" s="50"/>
      <c r="C475" s="59"/>
      <c r="H475" s="52"/>
      <c r="I475" s="44"/>
      <c r="J475" s="63"/>
    </row>
    <row r="476">
      <c r="B476" s="50"/>
      <c r="C476" s="59"/>
      <c r="H476" s="52"/>
      <c r="I476" s="44"/>
      <c r="J476" s="63"/>
    </row>
    <row r="477">
      <c r="B477" s="50"/>
      <c r="C477" s="59"/>
      <c r="H477" s="52"/>
      <c r="I477" s="44"/>
      <c r="J477" s="63"/>
    </row>
    <row r="478">
      <c r="B478" s="50"/>
      <c r="C478" s="59"/>
      <c r="H478" s="52"/>
      <c r="I478" s="44"/>
      <c r="J478" s="63"/>
    </row>
    <row r="479">
      <c r="B479" s="50"/>
      <c r="C479" s="59"/>
      <c r="H479" s="52"/>
      <c r="I479" s="44"/>
      <c r="J479" s="63"/>
    </row>
    <row r="480">
      <c r="B480" s="50"/>
      <c r="C480" s="59"/>
      <c r="H480" s="52"/>
      <c r="I480" s="44"/>
      <c r="J480" s="63"/>
    </row>
    <row r="481">
      <c r="B481" s="50"/>
      <c r="C481" s="59"/>
      <c r="H481" s="52"/>
      <c r="I481" s="44"/>
      <c r="J481" s="63"/>
    </row>
    <row r="482">
      <c r="B482" s="50"/>
      <c r="C482" s="59"/>
      <c r="H482" s="52"/>
      <c r="I482" s="44"/>
      <c r="J482" s="63"/>
    </row>
    <row r="483">
      <c r="B483" s="50"/>
      <c r="C483" s="59"/>
      <c r="H483" s="52"/>
      <c r="I483" s="44"/>
      <c r="J483" s="63"/>
    </row>
    <row r="484">
      <c r="B484" s="50"/>
      <c r="C484" s="59"/>
      <c r="H484" s="52"/>
      <c r="I484" s="44"/>
      <c r="J484" s="63"/>
    </row>
    <row r="485">
      <c r="B485" s="50"/>
      <c r="C485" s="59"/>
      <c r="H485" s="52"/>
      <c r="I485" s="44"/>
      <c r="J485" s="63"/>
    </row>
    <row r="486">
      <c r="B486" s="50"/>
      <c r="C486" s="59"/>
      <c r="H486" s="52"/>
      <c r="I486" s="44"/>
      <c r="J486" s="63"/>
    </row>
    <row r="487">
      <c r="B487" s="50"/>
      <c r="C487" s="59"/>
      <c r="H487" s="52"/>
      <c r="I487" s="44"/>
      <c r="J487" s="63"/>
    </row>
    <row r="488">
      <c r="B488" s="50"/>
      <c r="C488" s="59"/>
      <c r="H488" s="52"/>
      <c r="I488" s="44"/>
      <c r="J488" s="63"/>
    </row>
    <row r="489">
      <c r="B489" s="50"/>
      <c r="C489" s="59"/>
      <c r="H489" s="52"/>
      <c r="I489" s="44"/>
      <c r="J489" s="63"/>
    </row>
    <row r="490">
      <c r="B490" s="50"/>
      <c r="C490" s="59"/>
      <c r="H490" s="52"/>
      <c r="I490" s="44"/>
      <c r="J490" s="63"/>
    </row>
    <row r="491">
      <c r="B491" s="50"/>
      <c r="C491" s="59"/>
      <c r="H491" s="52"/>
      <c r="I491" s="44"/>
      <c r="J491" s="63"/>
    </row>
    <row r="492">
      <c r="B492" s="50"/>
      <c r="C492" s="59"/>
      <c r="H492" s="52"/>
      <c r="I492" s="44"/>
      <c r="J492" s="63"/>
    </row>
    <row r="493">
      <c r="B493" s="50"/>
      <c r="C493" s="59"/>
      <c r="H493" s="52"/>
      <c r="I493" s="44"/>
      <c r="J493" s="63"/>
    </row>
    <row r="494">
      <c r="B494" s="50"/>
      <c r="C494" s="59"/>
      <c r="H494" s="52"/>
      <c r="I494" s="44"/>
      <c r="J494" s="63"/>
    </row>
    <row r="495">
      <c r="B495" s="50"/>
      <c r="C495" s="59"/>
      <c r="H495" s="52"/>
      <c r="I495" s="44"/>
      <c r="J495" s="63"/>
    </row>
    <row r="496">
      <c r="B496" s="50"/>
      <c r="C496" s="59"/>
      <c r="H496" s="52"/>
      <c r="I496" s="44"/>
      <c r="J496" s="63"/>
    </row>
    <row r="497">
      <c r="B497" s="50"/>
      <c r="C497" s="59"/>
      <c r="H497" s="52"/>
      <c r="I497" s="44"/>
      <c r="J497" s="63"/>
    </row>
    <row r="498">
      <c r="B498" s="50"/>
      <c r="C498" s="59"/>
      <c r="H498" s="52"/>
      <c r="I498" s="44"/>
      <c r="J498" s="63"/>
    </row>
    <row r="499">
      <c r="B499" s="50"/>
      <c r="C499" s="59"/>
      <c r="H499" s="52"/>
      <c r="I499" s="44"/>
      <c r="J499" s="63"/>
    </row>
    <row r="500">
      <c r="B500" s="50"/>
      <c r="C500" s="59"/>
      <c r="H500" s="52"/>
      <c r="I500" s="44"/>
      <c r="J500" s="63"/>
    </row>
    <row r="501">
      <c r="B501" s="50"/>
      <c r="C501" s="59"/>
      <c r="H501" s="52"/>
      <c r="I501" s="44"/>
      <c r="J501" s="63"/>
    </row>
    <row r="502">
      <c r="B502" s="50"/>
      <c r="C502" s="59"/>
      <c r="H502" s="52"/>
      <c r="I502" s="44"/>
      <c r="J502" s="63"/>
    </row>
    <row r="503">
      <c r="B503" s="50"/>
      <c r="C503" s="59"/>
      <c r="H503" s="52"/>
      <c r="I503" s="44"/>
      <c r="J503" s="63"/>
    </row>
    <row r="504">
      <c r="B504" s="50"/>
      <c r="C504" s="59"/>
      <c r="H504" s="52"/>
      <c r="I504" s="44"/>
      <c r="J504" s="63"/>
    </row>
    <row r="505">
      <c r="B505" s="50"/>
      <c r="C505" s="59"/>
      <c r="H505" s="52"/>
      <c r="I505" s="44"/>
      <c r="J505" s="63"/>
    </row>
    <row r="506">
      <c r="B506" s="50"/>
      <c r="C506" s="59"/>
      <c r="H506" s="52"/>
      <c r="I506" s="44"/>
      <c r="J506" s="63"/>
    </row>
    <row r="507">
      <c r="B507" s="50"/>
      <c r="C507" s="59"/>
      <c r="H507" s="52"/>
      <c r="I507" s="44"/>
      <c r="J507" s="63"/>
    </row>
    <row r="508">
      <c r="B508" s="50"/>
      <c r="C508" s="59"/>
      <c r="H508" s="52"/>
      <c r="I508" s="44"/>
      <c r="J508" s="63"/>
    </row>
    <row r="509">
      <c r="B509" s="50"/>
      <c r="C509" s="59"/>
      <c r="H509" s="52"/>
      <c r="I509" s="44"/>
      <c r="J509" s="63"/>
    </row>
    <row r="510">
      <c r="B510" s="50"/>
      <c r="C510" s="59"/>
      <c r="H510" s="52"/>
      <c r="I510" s="44"/>
      <c r="J510" s="63"/>
    </row>
    <row r="511">
      <c r="B511" s="50"/>
      <c r="C511" s="59"/>
      <c r="H511" s="52"/>
      <c r="I511" s="44"/>
      <c r="J511" s="63"/>
    </row>
    <row r="512">
      <c r="B512" s="50"/>
      <c r="C512" s="59"/>
      <c r="H512" s="52"/>
      <c r="I512" s="44"/>
      <c r="J512" s="63"/>
    </row>
    <row r="513">
      <c r="B513" s="50"/>
      <c r="C513" s="59"/>
      <c r="H513" s="52"/>
      <c r="I513" s="44"/>
      <c r="J513" s="63"/>
    </row>
    <row r="514">
      <c r="B514" s="50"/>
      <c r="C514" s="59"/>
      <c r="H514" s="52"/>
      <c r="I514" s="44"/>
      <c r="J514" s="63"/>
    </row>
    <row r="515">
      <c r="B515" s="50"/>
      <c r="C515" s="59"/>
      <c r="H515" s="52"/>
      <c r="I515" s="44"/>
      <c r="J515" s="63"/>
    </row>
    <row r="516">
      <c r="B516" s="50"/>
      <c r="C516" s="59"/>
      <c r="H516" s="52"/>
      <c r="I516" s="44"/>
      <c r="J516" s="63"/>
    </row>
    <row r="517">
      <c r="B517" s="50"/>
      <c r="C517" s="59"/>
      <c r="H517" s="52"/>
      <c r="I517" s="44"/>
      <c r="J517" s="63"/>
    </row>
    <row r="518">
      <c r="B518" s="50"/>
      <c r="C518" s="59"/>
      <c r="H518" s="52"/>
      <c r="I518" s="44"/>
      <c r="J518" s="63"/>
    </row>
    <row r="519">
      <c r="B519" s="50"/>
      <c r="C519" s="59"/>
      <c r="H519" s="52"/>
      <c r="I519" s="44"/>
      <c r="J519" s="63"/>
    </row>
    <row r="520">
      <c r="B520" s="50"/>
      <c r="C520" s="59"/>
      <c r="H520" s="52"/>
      <c r="I520" s="44"/>
      <c r="J520" s="63"/>
    </row>
    <row r="521">
      <c r="B521" s="50"/>
      <c r="C521" s="59"/>
      <c r="H521" s="52"/>
      <c r="I521" s="44"/>
      <c r="J521" s="63"/>
    </row>
    <row r="522">
      <c r="B522" s="50"/>
      <c r="C522" s="59"/>
      <c r="H522" s="52"/>
      <c r="I522" s="44"/>
      <c r="J522" s="63"/>
    </row>
    <row r="523">
      <c r="B523" s="50"/>
      <c r="C523" s="59"/>
      <c r="H523" s="52"/>
      <c r="I523" s="44"/>
      <c r="J523" s="63"/>
    </row>
    <row r="524">
      <c r="B524" s="50"/>
      <c r="C524" s="59"/>
      <c r="H524" s="52"/>
      <c r="I524" s="44"/>
      <c r="J524" s="63"/>
    </row>
    <row r="525">
      <c r="B525" s="50"/>
      <c r="C525" s="59"/>
      <c r="H525" s="52"/>
      <c r="I525" s="44"/>
      <c r="J525" s="63"/>
    </row>
    <row r="526">
      <c r="B526" s="50"/>
      <c r="C526" s="59"/>
      <c r="H526" s="52"/>
      <c r="I526" s="44"/>
      <c r="J526" s="63"/>
    </row>
    <row r="527">
      <c r="B527" s="50"/>
      <c r="C527" s="59"/>
      <c r="H527" s="52"/>
      <c r="I527" s="44"/>
      <c r="J527" s="63"/>
    </row>
    <row r="528">
      <c r="B528" s="50"/>
      <c r="C528" s="59"/>
      <c r="H528" s="52"/>
      <c r="I528" s="44"/>
      <c r="J528" s="63"/>
    </row>
    <row r="529">
      <c r="B529" s="50"/>
      <c r="C529" s="59"/>
      <c r="H529" s="52"/>
      <c r="I529" s="44"/>
      <c r="J529" s="63"/>
    </row>
    <row r="530">
      <c r="B530" s="50"/>
      <c r="C530" s="59"/>
      <c r="H530" s="52"/>
      <c r="I530" s="44"/>
      <c r="J530" s="63"/>
    </row>
    <row r="531">
      <c r="B531" s="50"/>
      <c r="C531" s="59"/>
      <c r="H531" s="52"/>
      <c r="I531" s="44"/>
      <c r="J531" s="63"/>
    </row>
    <row r="532">
      <c r="B532" s="50"/>
      <c r="C532" s="59"/>
      <c r="H532" s="52"/>
      <c r="I532" s="44"/>
      <c r="J532" s="63"/>
    </row>
    <row r="533">
      <c r="B533" s="50"/>
      <c r="C533" s="59"/>
      <c r="H533" s="52"/>
      <c r="I533" s="44"/>
      <c r="J533" s="63"/>
    </row>
    <row r="534">
      <c r="B534" s="50"/>
      <c r="C534" s="59"/>
      <c r="H534" s="52"/>
      <c r="I534" s="44"/>
      <c r="J534" s="63"/>
    </row>
    <row r="535">
      <c r="B535" s="50"/>
      <c r="C535" s="59"/>
      <c r="H535" s="52"/>
      <c r="I535" s="44"/>
      <c r="J535" s="63"/>
    </row>
    <row r="536">
      <c r="B536" s="50"/>
      <c r="C536" s="59"/>
      <c r="H536" s="52"/>
      <c r="I536" s="44"/>
      <c r="J536" s="63"/>
    </row>
    <row r="537">
      <c r="B537" s="50"/>
      <c r="C537" s="59"/>
      <c r="H537" s="52"/>
      <c r="I537" s="44"/>
      <c r="J537" s="63"/>
    </row>
    <row r="538">
      <c r="B538" s="50"/>
      <c r="C538" s="59"/>
      <c r="H538" s="52"/>
      <c r="I538" s="44"/>
      <c r="J538" s="63"/>
    </row>
    <row r="539">
      <c r="B539" s="50"/>
      <c r="C539" s="59"/>
      <c r="H539" s="52"/>
      <c r="I539" s="44"/>
      <c r="J539" s="63"/>
    </row>
    <row r="540">
      <c r="B540" s="50"/>
      <c r="C540" s="59"/>
      <c r="H540" s="52"/>
      <c r="I540" s="44"/>
      <c r="J540" s="63"/>
    </row>
    <row r="541">
      <c r="B541" s="50"/>
      <c r="C541" s="59"/>
      <c r="H541" s="52"/>
      <c r="I541" s="44"/>
      <c r="J541" s="63"/>
    </row>
    <row r="542">
      <c r="B542" s="50"/>
      <c r="C542" s="59"/>
      <c r="H542" s="52"/>
      <c r="I542" s="44"/>
      <c r="J542" s="63"/>
    </row>
    <row r="543">
      <c r="B543" s="50"/>
      <c r="C543" s="59"/>
      <c r="H543" s="52"/>
      <c r="I543" s="44"/>
      <c r="J543" s="63"/>
    </row>
    <row r="544">
      <c r="B544" s="50"/>
      <c r="C544" s="59"/>
      <c r="H544" s="52"/>
      <c r="I544" s="44"/>
      <c r="J544" s="63"/>
    </row>
    <row r="545">
      <c r="B545" s="50"/>
      <c r="C545" s="59"/>
      <c r="H545" s="52"/>
      <c r="I545" s="44"/>
      <c r="J545" s="63"/>
    </row>
    <row r="546">
      <c r="B546" s="50"/>
      <c r="C546" s="59"/>
      <c r="H546" s="52"/>
      <c r="I546" s="44"/>
      <c r="J546" s="63"/>
    </row>
    <row r="547">
      <c r="B547" s="50"/>
      <c r="C547" s="59"/>
      <c r="H547" s="52"/>
      <c r="I547" s="44"/>
      <c r="J547" s="63"/>
    </row>
    <row r="548">
      <c r="B548" s="50"/>
      <c r="C548" s="59"/>
      <c r="H548" s="52"/>
      <c r="I548" s="44"/>
      <c r="J548" s="63"/>
    </row>
    <row r="549">
      <c r="B549" s="50"/>
      <c r="C549" s="59"/>
      <c r="H549" s="52"/>
      <c r="I549" s="44"/>
      <c r="J549" s="63"/>
    </row>
    <row r="550">
      <c r="B550" s="50"/>
      <c r="C550" s="59"/>
      <c r="H550" s="52"/>
      <c r="I550" s="44"/>
      <c r="J550" s="63"/>
    </row>
    <row r="551">
      <c r="B551" s="50"/>
      <c r="C551" s="59"/>
      <c r="H551" s="52"/>
      <c r="I551" s="44"/>
      <c r="J551" s="63"/>
    </row>
    <row r="552">
      <c r="B552" s="50"/>
      <c r="C552" s="59"/>
      <c r="H552" s="52"/>
      <c r="I552" s="44"/>
      <c r="J552" s="63"/>
    </row>
    <row r="553">
      <c r="B553" s="50"/>
      <c r="C553" s="59"/>
      <c r="H553" s="52"/>
      <c r="I553" s="44"/>
      <c r="J553" s="63"/>
    </row>
    <row r="554">
      <c r="B554" s="50"/>
      <c r="C554" s="59"/>
      <c r="H554" s="52"/>
      <c r="I554" s="44"/>
      <c r="J554" s="63"/>
    </row>
    <row r="555">
      <c r="B555" s="50"/>
      <c r="C555" s="59"/>
      <c r="H555" s="52"/>
      <c r="I555" s="44"/>
      <c r="J555" s="63"/>
    </row>
    <row r="556">
      <c r="B556" s="50"/>
      <c r="C556" s="59"/>
      <c r="H556" s="52"/>
      <c r="I556" s="44"/>
      <c r="J556" s="63"/>
    </row>
    <row r="557">
      <c r="B557" s="50"/>
      <c r="C557" s="59"/>
      <c r="H557" s="52"/>
      <c r="I557" s="44"/>
      <c r="J557" s="63"/>
    </row>
    <row r="558">
      <c r="B558" s="50"/>
      <c r="C558" s="59"/>
      <c r="H558" s="52"/>
      <c r="I558" s="44"/>
      <c r="J558" s="63"/>
    </row>
    <row r="559">
      <c r="B559" s="50"/>
      <c r="C559" s="59"/>
      <c r="H559" s="52"/>
      <c r="I559" s="44"/>
      <c r="J559" s="63"/>
    </row>
    <row r="560">
      <c r="B560" s="50"/>
      <c r="C560" s="59"/>
      <c r="H560" s="52"/>
      <c r="I560" s="44"/>
      <c r="J560" s="63"/>
    </row>
    <row r="561">
      <c r="B561" s="50"/>
      <c r="C561" s="59"/>
      <c r="H561" s="52"/>
      <c r="I561" s="44"/>
      <c r="J561" s="63"/>
    </row>
    <row r="562">
      <c r="B562" s="50"/>
      <c r="C562" s="59"/>
      <c r="H562" s="52"/>
      <c r="I562" s="44"/>
      <c r="J562" s="63"/>
    </row>
    <row r="563">
      <c r="B563" s="50"/>
      <c r="C563" s="59"/>
      <c r="H563" s="52"/>
      <c r="I563" s="44"/>
      <c r="J563" s="63"/>
    </row>
    <row r="564">
      <c r="B564" s="50"/>
      <c r="C564" s="59"/>
      <c r="H564" s="52"/>
      <c r="I564" s="44"/>
      <c r="J564" s="63"/>
    </row>
    <row r="565">
      <c r="B565" s="50"/>
      <c r="C565" s="59"/>
      <c r="H565" s="52"/>
      <c r="I565" s="44"/>
      <c r="J565" s="63"/>
    </row>
    <row r="566">
      <c r="B566" s="50"/>
      <c r="C566" s="59"/>
      <c r="H566" s="52"/>
      <c r="I566" s="44"/>
      <c r="J566" s="63"/>
    </row>
    <row r="567">
      <c r="B567" s="50"/>
      <c r="C567" s="59"/>
      <c r="H567" s="52"/>
      <c r="I567" s="44"/>
      <c r="J567" s="63"/>
    </row>
    <row r="568">
      <c r="B568" s="50"/>
      <c r="C568" s="59"/>
      <c r="H568" s="52"/>
      <c r="I568" s="44"/>
      <c r="J568" s="63"/>
    </row>
    <row r="569">
      <c r="B569" s="50"/>
      <c r="C569" s="59"/>
      <c r="H569" s="52"/>
      <c r="I569" s="44"/>
      <c r="J569" s="63"/>
    </row>
    <row r="570">
      <c r="B570" s="50"/>
      <c r="C570" s="59"/>
      <c r="H570" s="52"/>
      <c r="I570" s="44"/>
      <c r="J570" s="63"/>
    </row>
    <row r="571">
      <c r="B571" s="50"/>
      <c r="C571" s="59"/>
      <c r="H571" s="52"/>
      <c r="I571" s="44"/>
      <c r="J571" s="63"/>
    </row>
    <row r="572">
      <c r="B572" s="50"/>
      <c r="C572" s="59"/>
      <c r="H572" s="52"/>
      <c r="I572" s="44"/>
      <c r="J572" s="63"/>
    </row>
    <row r="573">
      <c r="B573" s="50"/>
      <c r="C573" s="59"/>
      <c r="H573" s="52"/>
      <c r="I573" s="44"/>
      <c r="J573" s="63"/>
    </row>
    <row r="574">
      <c r="B574" s="50"/>
      <c r="C574" s="59"/>
      <c r="H574" s="52"/>
      <c r="I574" s="44"/>
      <c r="J574" s="63"/>
    </row>
    <row r="575">
      <c r="B575" s="50"/>
      <c r="C575" s="59"/>
      <c r="H575" s="52"/>
      <c r="I575" s="44"/>
      <c r="J575" s="63"/>
    </row>
    <row r="576">
      <c r="B576" s="50"/>
      <c r="C576" s="59"/>
      <c r="H576" s="52"/>
      <c r="I576" s="44"/>
      <c r="J576" s="63"/>
    </row>
    <row r="577">
      <c r="B577" s="50"/>
      <c r="C577" s="59"/>
      <c r="H577" s="52"/>
      <c r="I577" s="44"/>
      <c r="J577" s="63"/>
    </row>
    <row r="578">
      <c r="B578" s="50"/>
      <c r="C578" s="59"/>
      <c r="H578" s="52"/>
      <c r="I578" s="44"/>
      <c r="J578" s="63"/>
    </row>
    <row r="579">
      <c r="B579" s="50"/>
      <c r="C579" s="59"/>
      <c r="H579" s="52"/>
      <c r="I579" s="44"/>
      <c r="J579" s="63"/>
    </row>
    <row r="580">
      <c r="B580" s="50"/>
      <c r="C580" s="59"/>
      <c r="H580" s="52"/>
      <c r="I580" s="44"/>
      <c r="J580" s="63"/>
    </row>
    <row r="581">
      <c r="B581" s="50"/>
      <c r="C581" s="59"/>
      <c r="H581" s="52"/>
      <c r="I581" s="44"/>
      <c r="J581" s="63"/>
    </row>
    <row r="582">
      <c r="B582" s="50"/>
      <c r="C582" s="59"/>
      <c r="H582" s="52"/>
      <c r="I582" s="44"/>
      <c r="J582" s="63"/>
    </row>
    <row r="583">
      <c r="B583" s="50"/>
      <c r="C583" s="59"/>
      <c r="H583" s="52"/>
      <c r="I583" s="44"/>
      <c r="J583" s="63"/>
    </row>
    <row r="584">
      <c r="B584" s="50"/>
      <c r="C584" s="59"/>
      <c r="H584" s="52"/>
      <c r="I584" s="44"/>
      <c r="J584" s="63"/>
    </row>
    <row r="585">
      <c r="B585" s="50"/>
      <c r="C585" s="59"/>
      <c r="H585" s="52"/>
      <c r="I585" s="44"/>
      <c r="J585" s="63"/>
    </row>
    <row r="586">
      <c r="B586" s="50"/>
      <c r="C586" s="59"/>
      <c r="H586" s="52"/>
      <c r="I586" s="44"/>
      <c r="J586" s="63"/>
    </row>
    <row r="587">
      <c r="B587" s="50"/>
      <c r="C587" s="59"/>
      <c r="H587" s="52"/>
      <c r="I587" s="44"/>
      <c r="J587" s="63"/>
    </row>
    <row r="588">
      <c r="B588" s="50"/>
      <c r="C588" s="59"/>
      <c r="H588" s="52"/>
      <c r="I588" s="44"/>
      <c r="J588" s="63"/>
    </row>
    <row r="589">
      <c r="B589" s="50"/>
      <c r="C589" s="59"/>
      <c r="H589" s="52"/>
      <c r="I589" s="44"/>
      <c r="J589" s="63"/>
    </row>
    <row r="590">
      <c r="B590" s="50"/>
      <c r="C590" s="59"/>
      <c r="H590" s="52"/>
      <c r="I590" s="44"/>
      <c r="J590" s="63"/>
    </row>
    <row r="591">
      <c r="B591" s="50"/>
      <c r="C591" s="59"/>
      <c r="H591" s="52"/>
      <c r="I591" s="44"/>
      <c r="J591" s="63"/>
    </row>
    <row r="592">
      <c r="B592" s="50"/>
      <c r="C592" s="59"/>
      <c r="H592" s="52"/>
      <c r="I592" s="44"/>
      <c r="J592" s="63"/>
    </row>
    <row r="593">
      <c r="B593" s="50"/>
      <c r="C593" s="59"/>
      <c r="H593" s="52"/>
      <c r="I593" s="44"/>
      <c r="J593" s="63"/>
    </row>
    <row r="594">
      <c r="B594" s="50"/>
      <c r="C594" s="59"/>
      <c r="H594" s="52"/>
      <c r="I594" s="44"/>
      <c r="J594" s="63"/>
    </row>
    <row r="595">
      <c r="B595" s="50"/>
      <c r="C595" s="59"/>
      <c r="H595" s="52"/>
      <c r="I595" s="44"/>
      <c r="J595" s="63"/>
    </row>
    <row r="596">
      <c r="B596" s="50"/>
      <c r="C596" s="59"/>
      <c r="H596" s="52"/>
      <c r="I596" s="44"/>
      <c r="J596" s="63"/>
    </row>
    <row r="597">
      <c r="B597" s="50"/>
      <c r="C597" s="59"/>
      <c r="H597" s="52"/>
      <c r="I597" s="44"/>
      <c r="J597" s="63"/>
    </row>
    <row r="598">
      <c r="B598" s="50"/>
      <c r="C598" s="59"/>
      <c r="H598" s="52"/>
      <c r="I598" s="44"/>
      <c r="J598" s="63"/>
    </row>
    <row r="599">
      <c r="B599" s="50"/>
      <c r="C599" s="59"/>
      <c r="H599" s="52"/>
      <c r="I599" s="44"/>
      <c r="J599" s="63"/>
    </row>
    <row r="600">
      <c r="B600" s="50"/>
      <c r="C600" s="59"/>
      <c r="H600" s="52"/>
      <c r="I600" s="44"/>
      <c r="J600" s="63"/>
    </row>
    <row r="601">
      <c r="B601" s="50"/>
      <c r="C601" s="59"/>
      <c r="H601" s="52"/>
      <c r="I601" s="44"/>
      <c r="J601" s="63"/>
    </row>
    <row r="602">
      <c r="B602" s="50"/>
      <c r="C602" s="59"/>
      <c r="H602" s="52"/>
      <c r="I602" s="44"/>
      <c r="J602" s="63"/>
    </row>
    <row r="603">
      <c r="B603" s="50"/>
      <c r="C603" s="59"/>
      <c r="H603" s="52"/>
      <c r="I603" s="44"/>
      <c r="J603" s="63"/>
    </row>
    <row r="604">
      <c r="B604" s="50"/>
      <c r="C604" s="59"/>
      <c r="H604" s="52"/>
      <c r="I604" s="44"/>
      <c r="J604" s="63"/>
    </row>
    <row r="605">
      <c r="B605" s="50"/>
      <c r="C605" s="59"/>
      <c r="H605" s="52"/>
      <c r="I605" s="44"/>
      <c r="J605" s="63"/>
    </row>
    <row r="606">
      <c r="B606" s="50"/>
      <c r="C606" s="59"/>
      <c r="H606" s="52"/>
      <c r="I606" s="44"/>
      <c r="J606" s="63"/>
    </row>
    <row r="607">
      <c r="B607" s="50"/>
      <c r="C607" s="59"/>
      <c r="H607" s="52"/>
      <c r="I607" s="44"/>
      <c r="J607" s="63"/>
    </row>
    <row r="608">
      <c r="B608" s="50"/>
      <c r="C608" s="59"/>
      <c r="H608" s="52"/>
      <c r="I608" s="44"/>
      <c r="J608" s="63"/>
    </row>
    <row r="609">
      <c r="B609" s="50"/>
      <c r="C609" s="59"/>
      <c r="H609" s="52"/>
      <c r="I609" s="44"/>
      <c r="J609" s="63"/>
    </row>
    <row r="610">
      <c r="B610" s="50"/>
      <c r="C610" s="59"/>
      <c r="H610" s="52"/>
      <c r="I610" s="44"/>
      <c r="J610" s="63"/>
    </row>
    <row r="611">
      <c r="B611" s="50"/>
      <c r="C611" s="59"/>
      <c r="H611" s="52"/>
      <c r="I611" s="44"/>
      <c r="J611" s="63"/>
    </row>
    <row r="612">
      <c r="B612" s="50"/>
      <c r="C612" s="59"/>
      <c r="H612" s="52"/>
      <c r="I612" s="44"/>
      <c r="J612" s="63"/>
    </row>
    <row r="613">
      <c r="B613" s="50"/>
      <c r="C613" s="59"/>
      <c r="H613" s="52"/>
      <c r="I613" s="44"/>
      <c r="J613" s="63"/>
    </row>
    <row r="614">
      <c r="B614" s="50"/>
      <c r="C614" s="59"/>
      <c r="H614" s="52"/>
      <c r="I614" s="44"/>
      <c r="J614" s="63"/>
    </row>
    <row r="615">
      <c r="B615" s="50"/>
      <c r="C615" s="59"/>
      <c r="H615" s="52"/>
      <c r="I615" s="44"/>
      <c r="J615" s="63"/>
    </row>
    <row r="616">
      <c r="B616" s="50"/>
      <c r="C616" s="59"/>
      <c r="H616" s="52"/>
      <c r="I616" s="44"/>
      <c r="J616" s="63"/>
    </row>
    <row r="617">
      <c r="B617" s="50"/>
      <c r="C617" s="59"/>
      <c r="H617" s="52"/>
      <c r="I617" s="44"/>
      <c r="J617" s="63"/>
    </row>
    <row r="618">
      <c r="B618" s="50"/>
      <c r="C618" s="59"/>
      <c r="H618" s="52"/>
      <c r="I618" s="44"/>
      <c r="J618" s="63"/>
    </row>
    <row r="619">
      <c r="B619" s="50"/>
      <c r="C619" s="59"/>
      <c r="H619" s="52"/>
      <c r="I619" s="44"/>
      <c r="J619" s="63"/>
    </row>
    <row r="620">
      <c r="B620" s="50"/>
      <c r="C620" s="59"/>
      <c r="H620" s="52"/>
      <c r="I620" s="44"/>
      <c r="J620" s="63"/>
    </row>
    <row r="621">
      <c r="B621" s="50"/>
      <c r="C621" s="59"/>
      <c r="H621" s="52"/>
      <c r="I621" s="44"/>
      <c r="J621" s="63"/>
    </row>
    <row r="622">
      <c r="B622" s="50"/>
      <c r="C622" s="59"/>
      <c r="H622" s="52"/>
      <c r="I622" s="44"/>
      <c r="J622" s="63"/>
    </row>
    <row r="623">
      <c r="B623" s="50"/>
      <c r="C623" s="59"/>
      <c r="H623" s="52"/>
      <c r="I623" s="44"/>
      <c r="J623" s="63"/>
    </row>
    <row r="624">
      <c r="B624" s="50"/>
      <c r="C624" s="59"/>
      <c r="H624" s="52"/>
      <c r="I624" s="44"/>
      <c r="J624" s="63"/>
    </row>
    <row r="625">
      <c r="B625" s="50"/>
      <c r="C625" s="59"/>
      <c r="H625" s="52"/>
      <c r="I625" s="44"/>
      <c r="J625" s="63"/>
    </row>
    <row r="626">
      <c r="B626" s="50"/>
      <c r="C626" s="59"/>
      <c r="H626" s="52"/>
      <c r="I626" s="44"/>
      <c r="J626" s="63"/>
    </row>
    <row r="627">
      <c r="B627" s="50"/>
      <c r="C627" s="59"/>
      <c r="H627" s="52"/>
      <c r="I627" s="44"/>
      <c r="J627" s="63"/>
    </row>
    <row r="628">
      <c r="B628" s="50"/>
      <c r="C628" s="59"/>
      <c r="H628" s="52"/>
      <c r="I628" s="44"/>
      <c r="J628" s="63"/>
    </row>
    <row r="629">
      <c r="B629" s="50"/>
      <c r="C629" s="59"/>
      <c r="H629" s="52"/>
      <c r="I629" s="44"/>
      <c r="J629" s="63"/>
    </row>
    <row r="630">
      <c r="B630" s="50"/>
      <c r="C630" s="59"/>
      <c r="H630" s="52"/>
      <c r="I630" s="44"/>
      <c r="J630" s="63"/>
    </row>
    <row r="631">
      <c r="B631" s="50"/>
      <c r="C631" s="59"/>
      <c r="H631" s="52"/>
      <c r="I631" s="44"/>
      <c r="J631" s="63"/>
    </row>
    <row r="632">
      <c r="B632" s="50"/>
      <c r="C632" s="59"/>
      <c r="H632" s="52"/>
      <c r="I632" s="44"/>
      <c r="J632" s="63"/>
    </row>
    <row r="633">
      <c r="B633" s="50"/>
      <c r="C633" s="59"/>
      <c r="H633" s="52"/>
      <c r="I633" s="44"/>
      <c r="J633" s="63"/>
    </row>
    <row r="634">
      <c r="B634" s="50"/>
      <c r="C634" s="59"/>
      <c r="H634" s="52"/>
      <c r="I634" s="44"/>
      <c r="J634" s="63"/>
    </row>
    <row r="635">
      <c r="B635" s="50"/>
      <c r="C635" s="59"/>
      <c r="H635" s="52"/>
      <c r="I635" s="44"/>
      <c r="J635" s="63"/>
    </row>
    <row r="636">
      <c r="B636" s="50"/>
      <c r="C636" s="59"/>
      <c r="H636" s="52"/>
      <c r="I636" s="44"/>
      <c r="J636" s="63"/>
    </row>
    <row r="637">
      <c r="B637" s="50"/>
      <c r="C637" s="59"/>
      <c r="H637" s="52"/>
      <c r="I637" s="44"/>
      <c r="J637" s="63"/>
    </row>
    <row r="638">
      <c r="B638" s="50"/>
      <c r="C638" s="59"/>
      <c r="H638" s="52"/>
      <c r="I638" s="44"/>
      <c r="J638" s="63"/>
    </row>
    <row r="639">
      <c r="B639" s="50"/>
      <c r="C639" s="59"/>
      <c r="H639" s="52"/>
      <c r="I639" s="44"/>
      <c r="J639" s="63"/>
    </row>
    <row r="640">
      <c r="B640" s="50"/>
      <c r="C640" s="59"/>
      <c r="H640" s="52"/>
      <c r="I640" s="44"/>
      <c r="J640" s="63"/>
    </row>
    <row r="641">
      <c r="B641" s="50"/>
      <c r="C641" s="59"/>
      <c r="H641" s="52"/>
      <c r="I641" s="44"/>
      <c r="J641" s="63"/>
    </row>
    <row r="642">
      <c r="B642" s="50"/>
      <c r="C642" s="59"/>
      <c r="H642" s="52"/>
      <c r="I642" s="44"/>
      <c r="J642" s="63"/>
    </row>
    <row r="643">
      <c r="B643" s="50"/>
      <c r="C643" s="59"/>
      <c r="H643" s="52"/>
      <c r="I643" s="44"/>
      <c r="J643" s="63"/>
    </row>
    <row r="644">
      <c r="B644" s="50"/>
      <c r="C644" s="59"/>
      <c r="H644" s="52"/>
      <c r="I644" s="44"/>
      <c r="J644" s="63"/>
    </row>
    <row r="645">
      <c r="B645" s="50"/>
      <c r="C645" s="59"/>
      <c r="H645" s="52"/>
      <c r="I645" s="44"/>
      <c r="J645" s="63"/>
    </row>
    <row r="646">
      <c r="B646" s="50"/>
      <c r="C646" s="59"/>
      <c r="H646" s="52"/>
      <c r="I646" s="44"/>
      <c r="J646" s="63"/>
    </row>
    <row r="647">
      <c r="B647" s="50"/>
      <c r="C647" s="59"/>
      <c r="H647" s="52"/>
      <c r="I647" s="44"/>
      <c r="J647" s="63"/>
    </row>
    <row r="648">
      <c r="B648" s="50"/>
      <c r="C648" s="59"/>
      <c r="H648" s="52"/>
      <c r="I648" s="44"/>
      <c r="J648" s="63"/>
    </row>
    <row r="649">
      <c r="B649" s="50"/>
      <c r="C649" s="59"/>
      <c r="H649" s="52"/>
      <c r="I649" s="44"/>
      <c r="J649" s="63"/>
    </row>
    <row r="650">
      <c r="B650" s="50"/>
      <c r="C650" s="59"/>
      <c r="H650" s="52"/>
      <c r="I650" s="44"/>
      <c r="J650" s="63"/>
    </row>
    <row r="651">
      <c r="B651" s="50"/>
      <c r="C651" s="59"/>
      <c r="H651" s="52"/>
      <c r="I651" s="44"/>
      <c r="J651" s="63"/>
    </row>
    <row r="652">
      <c r="B652" s="50"/>
      <c r="C652" s="59"/>
      <c r="H652" s="52"/>
      <c r="I652" s="44"/>
      <c r="J652" s="63"/>
    </row>
    <row r="653">
      <c r="B653" s="50"/>
      <c r="C653" s="59"/>
      <c r="H653" s="52"/>
      <c r="I653" s="44"/>
      <c r="J653" s="63"/>
    </row>
    <row r="654">
      <c r="B654" s="50"/>
      <c r="C654" s="59"/>
      <c r="H654" s="52"/>
      <c r="I654" s="44"/>
      <c r="J654" s="63"/>
    </row>
    <row r="655">
      <c r="B655" s="50"/>
      <c r="C655" s="59"/>
      <c r="H655" s="52"/>
      <c r="I655" s="44"/>
      <c r="J655" s="63"/>
    </row>
    <row r="656">
      <c r="B656" s="50"/>
      <c r="C656" s="59"/>
      <c r="H656" s="52"/>
      <c r="I656" s="44"/>
      <c r="J656" s="63"/>
    </row>
    <row r="657">
      <c r="B657" s="50"/>
      <c r="C657" s="59"/>
      <c r="H657" s="52"/>
      <c r="I657" s="44"/>
      <c r="J657" s="63"/>
    </row>
    <row r="658">
      <c r="B658" s="50"/>
      <c r="C658" s="59"/>
      <c r="H658" s="52"/>
      <c r="I658" s="44"/>
      <c r="J658" s="63"/>
    </row>
    <row r="659">
      <c r="B659" s="50"/>
      <c r="C659" s="59"/>
      <c r="H659" s="52"/>
      <c r="I659" s="44"/>
      <c r="J659" s="63"/>
    </row>
    <row r="660">
      <c r="B660" s="50"/>
      <c r="C660" s="59"/>
      <c r="H660" s="52"/>
      <c r="I660" s="44"/>
      <c r="J660" s="63"/>
    </row>
    <row r="661">
      <c r="B661" s="50"/>
      <c r="C661" s="59"/>
      <c r="H661" s="52"/>
      <c r="I661" s="44"/>
      <c r="J661" s="63"/>
    </row>
    <row r="662">
      <c r="B662" s="50"/>
      <c r="C662" s="59"/>
      <c r="H662" s="52"/>
      <c r="I662" s="44"/>
      <c r="J662" s="63"/>
    </row>
    <row r="663">
      <c r="B663" s="50"/>
      <c r="C663" s="59"/>
      <c r="H663" s="52"/>
      <c r="I663" s="44"/>
      <c r="J663" s="63"/>
    </row>
    <row r="664">
      <c r="B664" s="50"/>
      <c r="C664" s="59"/>
      <c r="H664" s="52"/>
      <c r="I664" s="44"/>
      <c r="J664" s="63"/>
    </row>
    <row r="665">
      <c r="B665" s="50"/>
      <c r="C665" s="59"/>
      <c r="H665" s="52"/>
      <c r="I665" s="44"/>
      <c r="J665" s="63"/>
    </row>
    <row r="666">
      <c r="B666" s="50"/>
      <c r="C666" s="59"/>
      <c r="H666" s="52"/>
      <c r="I666" s="44"/>
      <c r="J666" s="63"/>
    </row>
    <row r="667">
      <c r="B667" s="50"/>
      <c r="C667" s="59"/>
      <c r="H667" s="52"/>
      <c r="I667" s="44"/>
      <c r="J667" s="63"/>
    </row>
    <row r="668">
      <c r="B668" s="50"/>
      <c r="C668" s="59"/>
      <c r="H668" s="52"/>
      <c r="I668" s="44"/>
      <c r="J668" s="63"/>
    </row>
    <row r="669">
      <c r="B669" s="50"/>
      <c r="C669" s="59"/>
      <c r="H669" s="52"/>
      <c r="I669" s="44"/>
      <c r="J669" s="63"/>
    </row>
    <row r="670">
      <c r="B670" s="50"/>
      <c r="C670" s="59"/>
      <c r="H670" s="52"/>
      <c r="I670" s="44"/>
      <c r="J670" s="63"/>
    </row>
    <row r="671">
      <c r="B671" s="50"/>
      <c r="C671" s="59"/>
      <c r="H671" s="52"/>
      <c r="I671" s="44"/>
      <c r="J671" s="63"/>
    </row>
    <row r="672">
      <c r="B672" s="50"/>
      <c r="C672" s="59"/>
      <c r="H672" s="52"/>
      <c r="I672" s="44"/>
      <c r="J672" s="63"/>
    </row>
    <row r="673">
      <c r="B673" s="50"/>
      <c r="C673" s="59"/>
      <c r="H673" s="52"/>
      <c r="I673" s="44"/>
      <c r="J673" s="63"/>
    </row>
    <row r="674">
      <c r="B674" s="50"/>
      <c r="C674" s="59"/>
      <c r="H674" s="52"/>
      <c r="I674" s="44"/>
      <c r="J674" s="63"/>
    </row>
    <row r="675">
      <c r="B675" s="50"/>
      <c r="C675" s="59"/>
      <c r="H675" s="52"/>
      <c r="I675" s="44"/>
      <c r="J675" s="63"/>
    </row>
    <row r="676">
      <c r="B676" s="50"/>
      <c r="C676" s="59"/>
      <c r="H676" s="52"/>
      <c r="I676" s="44"/>
      <c r="J676" s="63"/>
    </row>
    <row r="677">
      <c r="B677" s="50"/>
      <c r="C677" s="59"/>
      <c r="H677" s="52"/>
      <c r="I677" s="44"/>
      <c r="J677" s="63"/>
    </row>
    <row r="678">
      <c r="B678" s="50"/>
      <c r="C678" s="59"/>
      <c r="H678" s="52"/>
      <c r="I678" s="44"/>
      <c r="J678" s="63"/>
    </row>
    <row r="679">
      <c r="B679" s="50"/>
      <c r="C679" s="59"/>
      <c r="H679" s="52"/>
      <c r="I679" s="44"/>
      <c r="J679" s="63"/>
    </row>
    <row r="680">
      <c r="B680" s="50"/>
      <c r="C680" s="59"/>
      <c r="H680" s="52"/>
      <c r="I680" s="44"/>
      <c r="J680" s="63"/>
    </row>
    <row r="681">
      <c r="B681" s="50"/>
      <c r="C681" s="59"/>
      <c r="H681" s="52"/>
      <c r="I681" s="44"/>
      <c r="J681" s="63"/>
    </row>
    <row r="682">
      <c r="B682" s="50"/>
      <c r="C682" s="59"/>
      <c r="H682" s="52"/>
      <c r="I682" s="44"/>
      <c r="J682" s="63"/>
    </row>
    <row r="683">
      <c r="B683" s="50"/>
      <c r="C683" s="59"/>
      <c r="H683" s="52"/>
      <c r="I683" s="44"/>
      <c r="J683" s="63"/>
    </row>
    <row r="684">
      <c r="B684" s="50"/>
      <c r="C684" s="59"/>
      <c r="H684" s="52"/>
      <c r="I684" s="44"/>
      <c r="J684" s="63"/>
    </row>
    <row r="685">
      <c r="B685" s="50"/>
      <c r="C685" s="59"/>
      <c r="H685" s="52"/>
      <c r="I685" s="44"/>
      <c r="J685" s="63"/>
    </row>
    <row r="686">
      <c r="B686" s="50"/>
      <c r="C686" s="59"/>
      <c r="H686" s="52"/>
      <c r="I686" s="44"/>
      <c r="J686" s="63"/>
    </row>
    <row r="687">
      <c r="B687" s="50"/>
      <c r="C687" s="59"/>
      <c r="H687" s="52"/>
      <c r="I687" s="44"/>
      <c r="J687" s="63"/>
    </row>
    <row r="688">
      <c r="B688" s="50"/>
      <c r="C688" s="59"/>
      <c r="H688" s="52"/>
      <c r="I688" s="44"/>
      <c r="J688" s="63"/>
    </row>
    <row r="689">
      <c r="B689" s="50"/>
      <c r="C689" s="59"/>
      <c r="H689" s="52"/>
      <c r="I689" s="44"/>
      <c r="J689" s="63"/>
    </row>
    <row r="690">
      <c r="B690" s="50"/>
      <c r="C690" s="59"/>
      <c r="H690" s="52"/>
      <c r="I690" s="44"/>
      <c r="J690" s="63"/>
    </row>
    <row r="691">
      <c r="B691" s="50"/>
      <c r="C691" s="59"/>
      <c r="H691" s="52"/>
      <c r="I691" s="44"/>
      <c r="J691" s="63"/>
    </row>
    <row r="692">
      <c r="B692" s="50"/>
      <c r="C692" s="59"/>
      <c r="H692" s="52"/>
      <c r="I692" s="44"/>
      <c r="J692" s="63"/>
    </row>
    <row r="693">
      <c r="B693" s="50"/>
      <c r="C693" s="59"/>
      <c r="H693" s="52"/>
      <c r="I693" s="44"/>
      <c r="J693" s="63"/>
    </row>
    <row r="694">
      <c r="B694" s="50"/>
      <c r="C694" s="59"/>
      <c r="H694" s="52"/>
      <c r="I694" s="44"/>
      <c r="J694" s="63"/>
    </row>
    <row r="695">
      <c r="B695" s="50"/>
      <c r="C695" s="59"/>
      <c r="H695" s="52"/>
      <c r="I695" s="44"/>
      <c r="J695" s="63"/>
    </row>
    <row r="696">
      <c r="B696" s="50"/>
      <c r="C696" s="59"/>
      <c r="H696" s="52"/>
      <c r="I696" s="44"/>
      <c r="J696" s="63"/>
    </row>
    <row r="697">
      <c r="B697" s="50"/>
      <c r="C697" s="59"/>
      <c r="H697" s="52"/>
      <c r="I697" s="44"/>
      <c r="J697" s="63"/>
    </row>
    <row r="698">
      <c r="B698" s="50"/>
      <c r="C698" s="59"/>
      <c r="H698" s="52"/>
      <c r="I698" s="44"/>
      <c r="J698" s="63"/>
    </row>
    <row r="699">
      <c r="B699" s="50"/>
      <c r="C699" s="59"/>
      <c r="H699" s="52"/>
      <c r="I699" s="44"/>
      <c r="J699" s="63"/>
    </row>
    <row r="700">
      <c r="B700" s="50"/>
      <c r="C700" s="59"/>
      <c r="H700" s="52"/>
      <c r="I700" s="44"/>
      <c r="J700" s="63"/>
    </row>
    <row r="701">
      <c r="B701" s="50"/>
      <c r="C701" s="59"/>
      <c r="H701" s="52"/>
      <c r="I701" s="44"/>
      <c r="J701" s="63"/>
    </row>
    <row r="702">
      <c r="B702" s="50"/>
      <c r="C702" s="59"/>
      <c r="H702" s="52"/>
      <c r="I702" s="44"/>
      <c r="J702" s="63"/>
    </row>
    <row r="703">
      <c r="B703" s="50"/>
      <c r="C703" s="59"/>
      <c r="H703" s="52"/>
      <c r="I703" s="44"/>
      <c r="J703" s="63"/>
    </row>
    <row r="704">
      <c r="B704" s="50"/>
      <c r="C704" s="59"/>
      <c r="H704" s="52"/>
      <c r="I704" s="44"/>
      <c r="J704" s="63"/>
    </row>
    <row r="705">
      <c r="B705" s="50"/>
      <c r="C705" s="59"/>
      <c r="H705" s="52"/>
      <c r="I705" s="44"/>
      <c r="J705" s="63"/>
    </row>
    <row r="706">
      <c r="B706" s="50"/>
      <c r="C706" s="59"/>
      <c r="H706" s="52"/>
      <c r="I706" s="44"/>
      <c r="J706" s="63"/>
    </row>
    <row r="707">
      <c r="B707" s="50"/>
      <c r="C707" s="59"/>
      <c r="H707" s="52"/>
      <c r="I707" s="44"/>
      <c r="J707" s="63"/>
    </row>
    <row r="708">
      <c r="B708" s="50"/>
      <c r="C708" s="59"/>
      <c r="H708" s="52"/>
      <c r="I708" s="44"/>
      <c r="J708" s="63"/>
    </row>
    <row r="709">
      <c r="B709" s="50"/>
      <c r="C709" s="59"/>
      <c r="H709" s="52"/>
      <c r="I709" s="44"/>
      <c r="J709" s="63"/>
    </row>
    <row r="710">
      <c r="B710" s="50"/>
      <c r="C710" s="59"/>
      <c r="H710" s="52"/>
      <c r="I710" s="44"/>
      <c r="J710" s="63"/>
    </row>
    <row r="711">
      <c r="B711" s="50"/>
      <c r="C711" s="59"/>
      <c r="H711" s="52"/>
      <c r="I711" s="44"/>
      <c r="J711" s="63"/>
    </row>
    <row r="712">
      <c r="B712" s="50"/>
      <c r="C712" s="59"/>
      <c r="H712" s="52"/>
      <c r="I712" s="44"/>
      <c r="J712" s="63"/>
    </row>
    <row r="713">
      <c r="B713" s="50"/>
      <c r="C713" s="59"/>
      <c r="H713" s="52"/>
      <c r="I713" s="44"/>
      <c r="J713" s="63"/>
    </row>
    <row r="714">
      <c r="B714" s="50"/>
      <c r="C714" s="59"/>
      <c r="H714" s="52"/>
      <c r="I714" s="44"/>
      <c r="J714" s="63"/>
    </row>
    <row r="715">
      <c r="B715" s="50"/>
      <c r="C715" s="59"/>
      <c r="H715" s="52"/>
      <c r="I715" s="44"/>
      <c r="J715" s="63"/>
    </row>
    <row r="716">
      <c r="B716" s="50"/>
      <c r="C716" s="59"/>
      <c r="H716" s="52"/>
      <c r="I716" s="44"/>
      <c r="J716" s="63"/>
    </row>
    <row r="717">
      <c r="B717" s="50"/>
      <c r="C717" s="59"/>
      <c r="H717" s="52"/>
      <c r="I717" s="44"/>
      <c r="J717" s="63"/>
    </row>
    <row r="718">
      <c r="B718" s="50"/>
      <c r="C718" s="59"/>
      <c r="H718" s="52"/>
      <c r="I718" s="44"/>
      <c r="J718" s="63"/>
    </row>
    <row r="719">
      <c r="B719" s="50"/>
      <c r="C719" s="59"/>
      <c r="H719" s="52"/>
      <c r="I719" s="44"/>
      <c r="J719" s="63"/>
    </row>
    <row r="720">
      <c r="B720" s="50"/>
      <c r="C720" s="59"/>
      <c r="H720" s="52"/>
      <c r="I720" s="44"/>
      <c r="J720" s="63"/>
    </row>
    <row r="721">
      <c r="B721" s="50"/>
      <c r="C721" s="59"/>
      <c r="H721" s="52"/>
      <c r="I721" s="44"/>
      <c r="J721" s="63"/>
    </row>
    <row r="722">
      <c r="B722" s="50"/>
      <c r="C722" s="59"/>
      <c r="H722" s="52"/>
      <c r="I722" s="44"/>
      <c r="J722" s="63"/>
    </row>
    <row r="723">
      <c r="B723" s="50"/>
      <c r="C723" s="59"/>
      <c r="H723" s="52"/>
      <c r="I723" s="44"/>
      <c r="J723" s="63"/>
    </row>
    <row r="724">
      <c r="B724" s="50"/>
      <c r="C724" s="59"/>
      <c r="H724" s="52"/>
      <c r="I724" s="44"/>
      <c r="J724" s="63"/>
    </row>
    <row r="725">
      <c r="B725" s="50"/>
      <c r="C725" s="59"/>
      <c r="H725" s="52"/>
      <c r="I725" s="44"/>
      <c r="J725" s="63"/>
    </row>
    <row r="726">
      <c r="B726" s="50"/>
      <c r="C726" s="59"/>
      <c r="H726" s="52"/>
      <c r="I726" s="44"/>
      <c r="J726" s="63"/>
    </row>
    <row r="727">
      <c r="B727" s="50"/>
      <c r="C727" s="59"/>
      <c r="H727" s="52"/>
      <c r="I727" s="44"/>
      <c r="J727" s="63"/>
    </row>
    <row r="728">
      <c r="B728" s="50"/>
      <c r="C728" s="59"/>
      <c r="H728" s="52"/>
      <c r="I728" s="44"/>
      <c r="J728" s="63"/>
    </row>
    <row r="729">
      <c r="B729" s="50"/>
      <c r="C729" s="59"/>
      <c r="H729" s="52"/>
      <c r="I729" s="44"/>
      <c r="J729" s="63"/>
    </row>
    <row r="730">
      <c r="B730" s="50"/>
      <c r="C730" s="59"/>
      <c r="H730" s="52"/>
      <c r="I730" s="44"/>
      <c r="J730" s="63"/>
    </row>
    <row r="731">
      <c r="B731" s="50"/>
      <c r="C731" s="59"/>
      <c r="H731" s="52"/>
      <c r="I731" s="44"/>
      <c r="J731" s="63"/>
    </row>
    <row r="732">
      <c r="B732" s="50"/>
      <c r="C732" s="59"/>
      <c r="H732" s="52"/>
      <c r="I732" s="44"/>
      <c r="J732" s="63"/>
    </row>
    <row r="733">
      <c r="B733" s="50"/>
      <c r="C733" s="59"/>
      <c r="H733" s="52"/>
      <c r="I733" s="44"/>
      <c r="J733" s="63"/>
    </row>
    <row r="734">
      <c r="B734" s="50"/>
      <c r="C734" s="59"/>
      <c r="H734" s="52"/>
      <c r="I734" s="44"/>
      <c r="J734" s="63"/>
    </row>
    <row r="735">
      <c r="B735" s="50"/>
      <c r="C735" s="59"/>
      <c r="H735" s="52"/>
      <c r="I735" s="44"/>
      <c r="J735" s="63"/>
    </row>
    <row r="736">
      <c r="B736" s="50"/>
      <c r="C736" s="59"/>
      <c r="H736" s="52"/>
      <c r="I736" s="44"/>
      <c r="J736" s="63"/>
    </row>
    <row r="737">
      <c r="B737" s="50"/>
      <c r="C737" s="59"/>
      <c r="H737" s="52"/>
      <c r="I737" s="44"/>
      <c r="J737" s="63"/>
    </row>
    <row r="738">
      <c r="B738" s="50"/>
      <c r="C738" s="59"/>
      <c r="H738" s="52"/>
      <c r="I738" s="44"/>
      <c r="J738" s="63"/>
    </row>
    <row r="739">
      <c r="B739" s="50"/>
      <c r="C739" s="59"/>
      <c r="H739" s="52"/>
      <c r="I739" s="44"/>
      <c r="J739" s="63"/>
    </row>
    <row r="740">
      <c r="B740" s="50"/>
      <c r="C740" s="59"/>
      <c r="H740" s="52"/>
      <c r="I740" s="44"/>
      <c r="J740" s="63"/>
    </row>
    <row r="741">
      <c r="B741" s="50"/>
      <c r="C741" s="59"/>
      <c r="H741" s="52"/>
      <c r="I741" s="44"/>
      <c r="J741" s="63"/>
    </row>
    <row r="742">
      <c r="B742" s="50"/>
      <c r="C742" s="59"/>
      <c r="H742" s="52"/>
      <c r="I742" s="44"/>
      <c r="J742" s="63"/>
    </row>
    <row r="743">
      <c r="B743" s="50"/>
      <c r="C743" s="59"/>
      <c r="H743" s="52"/>
      <c r="I743" s="44"/>
      <c r="J743" s="63"/>
    </row>
    <row r="744">
      <c r="B744" s="50"/>
      <c r="C744" s="59"/>
      <c r="H744" s="52"/>
      <c r="I744" s="44"/>
      <c r="J744" s="63"/>
    </row>
    <row r="745">
      <c r="B745" s="50"/>
      <c r="C745" s="59"/>
      <c r="H745" s="52"/>
      <c r="I745" s="44"/>
      <c r="J745" s="63"/>
    </row>
    <row r="746">
      <c r="B746" s="50"/>
      <c r="C746" s="59"/>
      <c r="H746" s="52"/>
      <c r="I746" s="44"/>
      <c r="J746" s="63"/>
    </row>
    <row r="747">
      <c r="B747" s="50"/>
      <c r="C747" s="59"/>
      <c r="H747" s="52"/>
      <c r="I747" s="44"/>
      <c r="J747" s="63"/>
    </row>
    <row r="748">
      <c r="B748" s="50"/>
      <c r="C748" s="59"/>
      <c r="H748" s="52"/>
      <c r="I748" s="44"/>
      <c r="J748" s="63"/>
    </row>
    <row r="749">
      <c r="B749" s="50"/>
      <c r="C749" s="59"/>
      <c r="H749" s="52"/>
      <c r="I749" s="44"/>
      <c r="J749" s="63"/>
    </row>
    <row r="750">
      <c r="B750" s="50"/>
      <c r="C750" s="59"/>
      <c r="H750" s="52"/>
      <c r="I750" s="44"/>
      <c r="J750" s="63"/>
    </row>
    <row r="751">
      <c r="B751" s="50"/>
      <c r="C751" s="59"/>
      <c r="H751" s="52"/>
      <c r="I751" s="44"/>
      <c r="J751" s="63"/>
    </row>
    <row r="752">
      <c r="B752" s="50"/>
      <c r="C752" s="59"/>
      <c r="H752" s="52"/>
      <c r="I752" s="44"/>
      <c r="J752" s="63"/>
    </row>
    <row r="753">
      <c r="B753" s="50"/>
      <c r="C753" s="59"/>
      <c r="H753" s="52"/>
      <c r="I753" s="44"/>
      <c r="J753" s="63"/>
    </row>
    <row r="754">
      <c r="B754" s="50"/>
      <c r="C754" s="59"/>
      <c r="H754" s="52"/>
      <c r="I754" s="44"/>
      <c r="J754" s="63"/>
    </row>
    <row r="755">
      <c r="B755" s="50"/>
      <c r="C755" s="59"/>
      <c r="H755" s="52"/>
      <c r="I755" s="44"/>
      <c r="J755" s="63"/>
    </row>
    <row r="756">
      <c r="B756" s="50"/>
      <c r="C756" s="59"/>
      <c r="H756" s="52"/>
      <c r="I756" s="44"/>
      <c r="J756" s="63"/>
    </row>
    <row r="757">
      <c r="B757" s="50"/>
      <c r="C757" s="59"/>
      <c r="H757" s="52"/>
      <c r="I757" s="44"/>
      <c r="J757" s="63"/>
    </row>
    <row r="758">
      <c r="B758" s="50"/>
      <c r="C758" s="59"/>
      <c r="H758" s="52"/>
      <c r="I758" s="44"/>
      <c r="J758" s="63"/>
    </row>
    <row r="759">
      <c r="B759" s="50"/>
      <c r="C759" s="59"/>
      <c r="H759" s="52"/>
      <c r="I759" s="44"/>
      <c r="J759" s="63"/>
    </row>
    <row r="760">
      <c r="B760" s="50"/>
      <c r="C760" s="59"/>
      <c r="H760" s="52"/>
      <c r="I760" s="44"/>
      <c r="J760" s="63"/>
    </row>
    <row r="761">
      <c r="B761" s="50"/>
      <c r="C761" s="59"/>
      <c r="H761" s="52"/>
      <c r="I761" s="44"/>
      <c r="J761" s="63"/>
    </row>
    <row r="762">
      <c r="B762" s="50"/>
      <c r="C762" s="59"/>
      <c r="H762" s="52"/>
      <c r="I762" s="44"/>
      <c r="J762" s="63"/>
    </row>
    <row r="763">
      <c r="B763" s="50"/>
      <c r="C763" s="59"/>
      <c r="H763" s="52"/>
      <c r="I763" s="44"/>
      <c r="J763" s="63"/>
    </row>
    <row r="764">
      <c r="B764" s="50"/>
      <c r="C764" s="59"/>
      <c r="H764" s="52"/>
      <c r="I764" s="44"/>
      <c r="J764" s="63"/>
    </row>
    <row r="765">
      <c r="B765" s="50"/>
      <c r="C765" s="59"/>
      <c r="H765" s="52"/>
      <c r="I765" s="44"/>
      <c r="J765" s="63"/>
    </row>
    <row r="766">
      <c r="B766" s="50"/>
      <c r="C766" s="59"/>
      <c r="H766" s="52"/>
      <c r="I766" s="44"/>
      <c r="J766" s="63"/>
    </row>
    <row r="767">
      <c r="B767" s="50"/>
      <c r="C767" s="59"/>
      <c r="H767" s="52"/>
      <c r="I767" s="44"/>
      <c r="J767" s="63"/>
    </row>
    <row r="768">
      <c r="B768" s="50"/>
      <c r="C768" s="59"/>
      <c r="H768" s="52"/>
      <c r="I768" s="44"/>
      <c r="J768" s="63"/>
    </row>
    <row r="769">
      <c r="B769" s="50"/>
      <c r="C769" s="59"/>
      <c r="H769" s="52"/>
      <c r="I769" s="44"/>
      <c r="J769" s="63"/>
    </row>
    <row r="770">
      <c r="B770" s="50"/>
      <c r="C770" s="59"/>
      <c r="H770" s="52"/>
      <c r="I770" s="44"/>
      <c r="J770" s="63"/>
    </row>
    <row r="771">
      <c r="B771" s="50"/>
      <c r="C771" s="59"/>
      <c r="H771" s="52"/>
      <c r="I771" s="44"/>
      <c r="J771" s="63"/>
    </row>
    <row r="772">
      <c r="B772" s="50"/>
      <c r="C772" s="59"/>
      <c r="H772" s="52"/>
      <c r="I772" s="44"/>
      <c r="J772" s="63"/>
    </row>
    <row r="773">
      <c r="B773" s="50"/>
      <c r="C773" s="59"/>
      <c r="H773" s="52"/>
      <c r="I773" s="44"/>
      <c r="J773" s="63"/>
    </row>
    <row r="774">
      <c r="B774" s="50"/>
      <c r="C774" s="59"/>
      <c r="H774" s="52"/>
      <c r="I774" s="44"/>
      <c r="J774" s="63"/>
    </row>
    <row r="775">
      <c r="B775" s="50"/>
      <c r="C775" s="59"/>
      <c r="H775" s="52"/>
      <c r="I775" s="44"/>
      <c r="J775" s="63"/>
    </row>
    <row r="776">
      <c r="B776" s="50"/>
      <c r="C776" s="59"/>
      <c r="H776" s="52"/>
      <c r="I776" s="44"/>
      <c r="J776" s="63"/>
    </row>
    <row r="777">
      <c r="B777" s="50"/>
      <c r="C777" s="59"/>
      <c r="H777" s="52"/>
      <c r="I777" s="44"/>
      <c r="J777" s="63"/>
    </row>
    <row r="778">
      <c r="B778" s="50"/>
      <c r="C778" s="59"/>
      <c r="H778" s="52"/>
      <c r="I778" s="44"/>
      <c r="J778" s="63"/>
    </row>
    <row r="779">
      <c r="B779" s="50"/>
      <c r="C779" s="59"/>
      <c r="H779" s="52"/>
      <c r="I779" s="44"/>
      <c r="J779" s="63"/>
    </row>
    <row r="780">
      <c r="B780" s="50"/>
      <c r="C780" s="59"/>
      <c r="H780" s="52"/>
      <c r="I780" s="44"/>
      <c r="J780" s="63"/>
    </row>
    <row r="781">
      <c r="B781" s="50"/>
      <c r="C781" s="59"/>
      <c r="H781" s="52"/>
      <c r="I781" s="44"/>
      <c r="J781" s="63"/>
    </row>
    <row r="782">
      <c r="B782" s="50"/>
      <c r="C782" s="59"/>
      <c r="H782" s="52"/>
      <c r="I782" s="44"/>
      <c r="J782" s="63"/>
    </row>
    <row r="783">
      <c r="B783" s="50"/>
      <c r="C783" s="59"/>
      <c r="H783" s="52"/>
      <c r="I783" s="44"/>
      <c r="J783" s="63"/>
    </row>
    <row r="784">
      <c r="B784" s="50"/>
      <c r="C784" s="59"/>
      <c r="H784" s="52"/>
      <c r="I784" s="44"/>
      <c r="J784" s="63"/>
    </row>
    <row r="785">
      <c r="B785" s="50"/>
      <c r="C785" s="59"/>
      <c r="H785" s="52"/>
      <c r="I785" s="44"/>
      <c r="J785" s="63"/>
    </row>
    <row r="786">
      <c r="B786" s="50"/>
      <c r="C786" s="59"/>
      <c r="H786" s="52"/>
      <c r="I786" s="44"/>
      <c r="J786" s="63"/>
    </row>
    <row r="787">
      <c r="B787" s="50"/>
      <c r="C787" s="59"/>
      <c r="H787" s="52"/>
      <c r="I787" s="44"/>
      <c r="J787" s="63"/>
    </row>
    <row r="788">
      <c r="B788" s="50"/>
      <c r="C788" s="59"/>
      <c r="H788" s="52"/>
      <c r="I788" s="44"/>
      <c r="J788" s="63"/>
    </row>
    <row r="789">
      <c r="B789" s="50"/>
      <c r="C789" s="59"/>
      <c r="H789" s="52"/>
      <c r="I789" s="44"/>
      <c r="J789" s="63"/>
    </row>
    <row r="790">
      <c r="B790" s="50"/>
      <c r="C790" s="59"/>
      <c r="H790" s="52"/>
      <c r="I790" s="44"/>
      <c r="J790" s="63"/>
    </row>
    <row r="791">
      <c r="B791" s="50"/>
      <c r="C791" s="59"/>
      <c r="H791" s="52"/>
      <c r="I791" s="44"/>
      <c r="J791" s="63"/>
    </row>
    <row r="792">
      <c r="B792" s="50"/>
      <c r="C792" s="59"/>
      <c r="H792" s="52"/>
      <c r="I792" s="44"/>
      <c r="J792" s="63"/>
    </row>
    <row r="793">
      <c r="B793" s="50"/>
      <c r="C793" s="59"/>
      <c r="H793" s="52"/>
      <c r="I793" s="44"/>
      <c r="J793" s="63"/>
    </row>
    <row r="794">
      <c r="B794" s="50"/>
      <c r="C794" s="59"/>
      <c r="H794" s="52"/>
      <c r="I794" s="44"/>
      <c r="J794" s="63"/>
    </row>
    <row r="795">
      <c r="B795" s="50"/>
      <c r="C795" s="59"/>
      <c r="H795" s="52"/>
      <c r="I795" s="44"/>
      <c r="J795" s="63"/>
    </row>
    <row r="796">
      <c r="B796" s="50"/>
      <c r="C796" s="59"/>
      <c r="H796" s="52"/>
      <c r="I796" s="44"/>
      <c r="J796" s="63"/>
    </row>
    <row r="797">
      <c r="B797" s="50"/>
      <c r="C797" s="59"/>
      <c r="H797" s="52"/>
      <c r="I797" s="44"/>
      <c r="J797" s="63"/>
    </row>
    <row r="798">
      <c r="B798" s="50"/>
      <c r="C798" s="59"/>
      <c r="H798" s="52"/>
      <c r="I798" s="44"/>
      <c r="J798" s="63"/>
    </row>
    <row r="799">
      <c r="B799" s="50"/>
      <c r="C799" s="59"/>
      <c r="H799" s="52"/>
      <c r="I799" s="44"/>
      <c r="J799" s="63"/>
    </row>
    <row r="800">
      <c r="B800" s="50"/>
      <c r="C800" s="59"/>
      <c r="H800" s="52"/>
      <c r="I800" s="44"/>
      <c r="J800" s="63"/>
    </row>
    <row r="801">
      <c r="B801" s="50"/>
      <c r="C801" s="59"/>
      <c r="H801" s="52"/>
      <c r="I801" s="44"/>
      <c r="J801" s="63"/>
    </row>
    <row r="802">
      <c r="B802" s="50"/>
      <c r="C802" s="59"/>
      <c r="H802" s="52"/>
      <c r="I802" s="44"/>
      <c r="J802" s="63"/>
    </row>
    <row r="803">
      <c r="B803" s="50"/>
      <c r="C803" s="59"/>
      <c r="H803" s="52"/>
      <c r="I803" s="44"/>
      <c r="J803" s="63"/>
    </row>
    <row r="804">
      <c r="B804" s="50"/>
      <c r="C804" s="59"/>
      <c r="H804" s="52"/>
      <c r="I804" s="44"/>
      <c r="J804" s="63"/>
    </row>
    <row r="805">
      <c r="B805" s="50"/>
      <c r="C805" s="59"/>
      <c r="H805" s="52"/>
      <c r="I805" s="44"/>
      <c r="J805" s="63"/>
    </row>
    <row r="806">
      <c r="B806" s="50"/>
      <c r="C806" s="59"/>
      <c r="H806" s="52"/>
      <c r="I806" s="44"/>
      <c r="J806" s="63"/>
    </row>
    <row r="807">
      <c r="B807" s="50"/>
      <c r="C807" s="59"/>
      <c r="H807" s="52"/>
      <c r="I807" s="44"/>
      <c r="J807" s="63"/>
    </row>
    <row r="808">
      <c r="B808" s="50"/>
      <c r="C808" s="59"/>
      <c r="H808" s="52"/>
      <c r="I808" s="44"/>
      <c r="J808" s="63"/>
    </row>
    <row r="809">
      <c r="B809" s="50"/>
      <c r="C809" s="59"/>
      <c r="H809" s="52"/>
      <c r="I809" s="44"/>
      <c r="J809" s="63"/>
    </row>
    <row r="810">
      <c r="B810" s="50"/>
      <c r="C810" s="59"/>
      <c r="H810" s="52"/>
      <c r="I810" s="44"/>
      <c r="J810" s="63"/>
    </row>
    <row r="811">
      <c r="B811" s="50"/>
      <c r="C811" s="59"/>
      <c r="H811" s="52"/>
      <c r="I811" s="44"/>
      <c r="J811" s="63"/>
    </row>
    <row r="812">
      <c r="B812" s="50"/>
      <c r="C812" s="59"/>
      <c r="H812" s="52"/>
      <c r="I812" s="44"/>
      <c r="J812" s="63"/>
    </row>
    <row r="813">
      <c r="B813" s="50"/>
      <c r="C813" s="59"/>
      <c r="H813" s="52"/>
      <c r="I813" s="44"/>
      <c r="J813" s="63"/>
    </row>
    <row r="814">
      <c r="B814" s="50"/>
      <c r="C814" s="59"/>
      <c r="H814" s="52"/>
      <c r="I814" s="44"/>
      <c r="J814" s="63"/>
    </row>
    <row r="815">
      <c r="B815" s="50"/>
      <c r="C815" s="59"/>
      <c r="H815" s="52"/>
      <c r="I815" s="44"/>
      <c r="J815" s="63"/>
    </row>
    <row r="816">
      <c r="B816" s="50"/>
      <c r="C816" s="59"/>
      <c r="H816" s="52"/>
      <c r="I816" s="44"/>
      <c r="J816" s="63"/>
    </row>
    <row r="817">
      <c r="B817" s="50"/>
      <c r="C817" s="59"/>
      <c r="H817" s="52"/>
      <c r="I817" s="44"/>
      <c r="J817" s="63"/>
    </row>
    <row r="818">
      <c r="B818" s="50"/>
      <c r="C818" s="59"/>
      <c r="H818" s="52"/>
      <c r="I818" s="44"/>
      <c r="J818" s="63"/>
    </row>
    <row r="819">
      <c r="B819" s="50"/>
      <c r="C819" s="59"/>
      <c r="H819" s="52"/>
      <c r="I819" s="44"/>
      <c r="J819" s="63"/>
    </row>
    <row r="820">
      <c r="B820" s="50"/>
      <c r="C820" s="59"/>
      <c r="H820" s="52"/>
      <c r="I820" s="44"/>
      <c r="J820" s="63"/>
    </row>
    <row r="821">
      <c r="B821" s="50"/>
      <c r="C821" s="59"/>
      <c r="H821" s="52"/>
      <c r="I821" s="44"/>
      <c r="J821" s="63"/>
    </row>
    <row r="822">
      <c r="B822" s="50"/>
      <c r="C822" s="59"/>
      <c r="H822" s="52"/>
      <c r="I822" s="44"/>
      <c r="J822" s="63"/>
    </row>
    <row r="823">
      <c r="B823" s="50"/>
      <c r="C823" s="59"/>
      <c r="H823" s="52"/>
      <c r="I823" s="44"/>
      <c r="J823" s="63"/>
    </row>
    <row r="824">
      <c r="B824" s="50"/>
      <c r="C824" s="59"/>
      <c r="H824" s="52"/>
      <c r="I824" s="44"/>
      <c r="J824" s="63"/>
    </row>
    <row r="825">
      <c r="B825" s="50"/>
      <c r="C825" s="59"/>
      <c r="H825" s="52"/>
      <c r="I825" s="44"/>
      <c r="J825" s="63"/>
    </row>
    <row r="826">
      <c r="B826" s="50"/>
      <c r="C826" s="59"/>
      <c r="H826" s="52"/>
      <c r="I826" s="44"/>
      <c r="J826" s="63"/>
    </row>
    <row r="827">
      <c r="B827" s="50"/>
      <c r="C827" s="59"/>
      <c r="H827" s="52"/>
      <c r="I827" s="44"/>
      <c r="J827" s="63"/>
    </row>
    <row r="828">
      <c r="B828" s="50"/>
      <c r="C828" s="59"/>
      <c r="H828" s="52"/>
      <c r="I828" s="44"/>
      <c r="J828" s="63"/>
    </row>
    <row r="829">
      <c r="B829" s="50"/>
      <c r="C829" s="59"/>
      <c r="H829" s="52"/>
      <c r="I829" s="44"/>
      <c r="J829" s="63"/>
    </row>
    <row r="830">
      <c r="B830" s="50"/>
      <c r="C830" s="59"/>
      <c r="H830" s="52"/>
      <c r="I830" s="44"/>
      <c r="J830" s="63"/>
    </row>
    <row r="831">
      <c r="B831" s="50"/>
      <c r="C831" s="59"/>
      <c r="H831" s="52"/>
      <c r="I831" s="44"/>
      <c r="J831" s="63"/>
    </row>
    <row r="832">
      <c r="B832" s="50"/>
      <c r="C832" s="59"/>
      <c r="H832" s="52"/>
      <c r="I832" s="44"/>
      <c r="J832" s="63"/>
    </row>
    <row r="833">
      <c r="B833" s="50"/>
      <c r="C833" s="59"/>
      <c r="H833" s="52"/>
      <c r="I833" s="44"/>
      <c r="J833" s="63"/>
    </row>
    <row r="834">
      <c r="B834" s="50"/>
      <c r="C834" s="59"/>
      <c r="H834" s="52"/>
      <c r="I834" s="44"/>
      <c r="J834" s="63"/>
    </row>
    <row r="835">
      <c r="B835" s="50"/>
      <c r="C835" s="59"/>
      <c r="H835" s="52"/>
      <c r="I835" s="44"/>
      <c r="J835" s="63"/>
    </row>
    <row r="836">
      <c r="B836" s="50"/>
      <c r="C836" s="59"/>
      <c r="H836" s="52"/>
      <c r="I836" s="44"/>
      <c r="J836" s="63"/>
    </row>
    <row r="837">
      <c r="B837" s="50"/>
      <c r="C837" s="59"/>
      <c r="H837" s="52"/>
      <c r="I837" s="44"/>
      <c r="J837" s="63"/>
    </row>
    <row r="838">
      <c r="B838" s="50"/>
      <c r="C838" s="59"/>
      <c r="H838" s="52"/>
      <c r="I838" s="44"/>
      <c r="J838" s="63"/>
    </row>
    <row r="839">
      <c r="B839" s="50"/>
      <c r="C839" s="59"/>
      <c r="H839" s="52"/>
      <c r="I839" s="44"/>
      <c r="J839" s="63"/>
    </row>
    <row r="840">
      <c r="B840" s="50"/>
      <c r="C840" s="59"/>
      <c r="H840" s="52"/>
      <c r="I840" s="44"/>
      <c r="J840" s="63"/>
    </row>
    <row r="841">
      <c r="B841" s="50"/>
      <c r="C841" s="59"/>
      <c r="H841" s="52"/>
      <c r="I841" s="44"/>
      <c r="J841" s="63"/>
    </row>
    <row r="842">
      <c r="B842" s="50"/>
      <c r="C842" s="59"/>
      <c r="H842" s="52"/>
      <c r="I842" s="44"/>
      <c r="J842" s="63"/>
    </row>
    <row r="843">
      <c r="B843" s="50"/>
      <c r="C843" s="59"/>
      <c r="H843" s="52"/>
      <c r="I843" s="44"/>
      <c r="J843" s="63"/>
    </row>
    <row r="844">
      <c r="B844" s="50"/>
      <c r="C844" s="59"/>
      <c r="H844" s="52"/>
      <c r="I844" s="44"/>
      <c r="J844" s="63"/>
    </row>
    <row r="845">
      <c r="B845" s="50"/>
      <c r="C845" s="59"/>
      <c r="H845" s="52"/>
      <c r="I845" s="44"/>
      <c r="J845" s="63"/>
    </row>
    <row r="846">
      <c r="B846" s="50"/>
      <c r="C846" s="59"/>
      <c r="H846" s="52"/>
      <c r="I846" s="44"/>
      <c r="J846" s="63"/>
    </row>
    <row r="847">
      <c r="B847" s="50"/>
      <c r="C847" s="59"/>
      <c r="H847" s="52"/>
      <c r="I847" s="44"/>
      <c r="J847" s="63"/>
    </row>
    <row r="848">
      <c r="B848" s="50"/>
      <c r="C848" s="59"/>
      <c r="H848" s="52"/>
      <c r="I848" s="44"/>
      <c r="J848" s="63"/>
    </row>
    <row r="849">
      <c r="B849" s="50"/>
      <c r="C849" s="59"/>
      <c r="H849" s="52"/>
      <c r="I849" s="44"/>
      <c r="J849" s="63"/>
    </row>
    <row r="850">
      <c r="B850" s="50"/>
      <c r="C850" s="59"/>
      <c r="H850" s="52"/>
      <c r="I850" s="44"/>
      <c r="J850" s="63"/>
    </row>
    <row r="851">
      <c r="B851" s="50"/>
      <c r="C851" s="59"/>
      <c r="H851" s="52"/>
      <c r="I851" s="44"/>
      <c r="J851" s="63"/>
    </row>
    <row r="852">
      <c r="B852" s="50"/>
      <c r="C852" s="59"/>
      <c r="H852" s="52"/>
      <c r="I852" s="44"/>
      <c r="J852" s="63"/>
    </row>
    <row r="853">
      <c r="B853" s="50"/>
      <c r="C853" s="59"/>
      <c r="H853" s="52"/>
      <c r="I853" s="44"/>
      <c r="J853" s="63"/>
    </row>
    <row r="854">
      <c r="B854" s="50"/>
      <c r="C854" s="59"/>
      <c r="H854" s="52"/>
      <c r="I854" s="44"/>
      <c r="J854" s="63"/>
    </row>
    <row r="855">
      <c r="B855" s="50"/>
      <c r="C855" s="59"/>
      <c r="H855" s="52"/>
      <c r="I855" s="44"/>
      <c r="J855" s="63"/>
    </row>
    <row r="856">
      <c r="B856" s="50"/>
      <c r="C856" s="59"/>
      <c r="H856" s="52"/>
      <c r="I856" s="44"/>
      <c r="J856" s="63"/>
    </row>
    <row r="857">
      <c r="B857" s="50"/>
      <c r="C857" s="59"/>
      <c r="H857" s="52"/>
      <c r="I857" s="44"/>
      <c r="J857" s="63"/>
    </row>
    <row r="858">
      <c r="B858" s="50"/>
      <c r="C858" s="59"/>
      <c r="H858" s="52"/>
      <c r="I858" s="44"/>
      <c r="J858" s="63"/>
    </row>
    <row r="859">
      <c r="B859" s="50"/>
      <c r="C859" s="59"/>
      <c r="H859" s="52"/>
      <c r="I859" s="44"/>
      <c r="J859" s="63"/>
    </row>
    <row r="860">
      <c r="B860" s="50"/>
      <c r="C860" s="59"/>
      <c r="H860" s="52"/>
      <c r="I860" s="44"/>
      <c r="J860" s="63"/>
    </row>
    <row r="861">
      <c r="B861" s="50"/>
      <c r="C861" s="59"/>
      <c r="H861" s="52"/>
      <c r="I861" s="44"/>
      <c r="J861" s="63"/>
    </row>
    <row r="862">
      <c r="B862" s="50"/>
      <c r="C862" s="59"/>
      <c r="H862" s="52"/>
      <c r="I862" s="44"/>
      <c r="J862" s="63"/>
    </row>
    <row r="863">
      <c r="B863" s="50"/>
      <c r="C863" s="59"/>
      <c r="H863" s="52"/>
      <c r="I863" s="44"/>
      <c r="J863" s="63"/>
    </row>
    <row r="864">
      <c r="B864" s="50"/>
      <c r="C864" s="59"/>
      <c r="H864" s="52"/>
      <c r="I864" s="44"/>
      <c r="J864" s="63"/>
    </row>
    <row r="865">
      <c r="B865" s="50"/>
      <c r="C865" s="59"/>
      <c r="H865" s="52"/>
      <c r="I865" s="44"/>
      <c r="J865" s="63"/>
    </row>
    <row r="866">
      <c r="B866" s="50"/>
      <c r="C866" s="59"/>
      <c r="H866" s="52"/>
      <c r="I866" s="44"/>
      <c r="J866" s="63"/>
    </row>
    <row r="867">
      <c r="B867" s="50"/>
      <c r="C867" s="59"/>
      <c r="H867" s="52"/>
      <c r="I867" s="44"/>
      <c r="J867" s="63"/>
    </row>
    <row r="868">
      <c r="B868" s="50"/>
      <c r="C868" s="59"/>
      <c r="H868" s="52"/>
      <c r="I868" s="44"/>
      <c r="J868" s="63"/>
    </row>
    <row r="869">
      <c r="B869" s="50"/>
      <c r="C869" s="59"/>
      <c r="H869" s="52"/>
      <c r="I869" s="44"/>
      <c r="J869" s="63"/>
    </row>
    <row r="870">
      <c r="B870" s="50"/>
      <c r="C870" s="59"/>
      <c r="H870" s="52"/>
      <c r="I870" s="44"/>
      <c r="J870" s="63"/>
    </row>
    <row r="871">
      <c r="B871" s="50"/>
      <c r="C871" s="59"/>
      <c r="H871" s="52"/>
      <c r="I871" s="44"/>
      <c r="J871" s="63"/>
    </row>
    <row r="872">
      <c r="B872" s="50"/>
      <c r="C872" s="59"/>
      <c r="H872" s="52"/>
      <c r="I872" s="44"/>
      <c r="J872" s="63"/>
    </row>
    <row r="873">
      <c r="B873" s="50"/>
      <c r="C873" s="59"/>
      <c r="H873" s="52"/>
      <c r="I873" s="44"/>
      <c r="J873" s="63"/>
    </row>
    <row r="874">
      <c r="B874" s="50"/>
      <c r="C874" s="59"/>
      <c r="H874" s="52"/>
      <c r="I874" s="44"/>
      <c r="J874" s="63"/>
    </row>
    <row r="875">
      <c r="B875" s="50"/>
      <c r="C875" s="59"/>
      <c r="H875" s="52"/>
      <c r="I875" s="44"/>
      <c r="J875" s="63"/>
    </row>
    <row r="876">
      <c r="B876" s="50"/>
      <c r="C876" s="59"/>
      <c r="H876" s="52"/>
      <c r="I876" s="44"/>
      <c r="J876" s="63"/>
    </row>
    <row r="877">
      <c r="B877" s="50"/>
      <c r="C877" s="59"/>
      <c r="H877" s="52"/>
      <c r="I877" s="44"/>
      <c r="J877" s="63"/>
    </row>
    <row r="878">
      <c r="B878" s="50"/>
      <c r="C878" s="59"/>
      <c r="H878" s="52"/>
      <c r="I878" s="44"/>
      <c r="J878" s="63"/>
    </row>
    <row r="879">
      <c r="B879" s="50"/>
      <c r="C879" s="59"/>
      <c r="H879" s="52"/>
      <c r="I879" s="44"/>
      <c r="J879" s="63"/>
    </row>
    <row r="880">
      <c r="B880" s="50"/>
      <c r="C880" s="59"/>
      <c r="H880" s="52"/>
      <c r="I880" s="44"/>
      <c r="J880" s="63"/>
    </row>
    <row r="881">
      <c r="B881" s="50"/>
      <c r="C881" s="59"/>
      <c r="H881" s="52"/>
      <c r="I881" s="44"/>
      <c r="J881" s="63"/>
    </row>
    <row r="882">
      <c r="B882" s="50"/>
      <c r="C882" s="59"/>
      <c r="H882" s="52"/>
      <c r="I882" s="44"/>
      <c r="J882" s="63"/>
    </row>
    <row r="883">
      <c r="B883" s="50"/>
      <c r="C883" s="59"/>
      <c r="H883" s="52"/>
      <c r="I883" s="44"/>
      <c r="J883" s="63"/>
    </row>
    <row r="884">
      <c r="B884" s="50"/>
      <c r="C884" s="59"/>
      <c r="H884" s="52"/>
      <c r="I884" s="44"/>
      <c r="J884" s="63"/>
    </row>
    <row r="885">
      <c r="B885" s="50"/>
      <c r="C885" s="59"/>
      <c r="H885" s="52"/>
      <c r="I885" s="44"/>
      <c r="J885" s="63"/>
    </row>
    <row r="886">
      <c r="B886" s="50"/>
      <c r="C886" s="59"/>
      <c r="H886" s="52"/>
      <c r="I886" s="44"/>
      <c r="J886" s="63"/>
    </row>
    <row r="887">
      <c r="B887" s="50"/>
      <c r="C887" s="59"/>
      <c r="H887" s="52"/>
      <c r="I887" s="44"/>
      <c r="J887" s="63"/>
    </row>
    <row r="888">
      <c r="B888" s="50"/>
      <c r="C888" s="59"/>
      <c r="H888" s="52"/>
      <c r="I888" s="44"/>
      <c r="J888" s="63"/>
    </row>
    <row r="889">
      <c r="B889" s="50"/>
      <c r="C889" s="59"/>
      <c r="H889" s="52"/>
      <c r="I889" s="44"/>
      <c r="J889" s="63"/>
    </row>
    <row r="890">
      <c r="B890" s="50"/>
      <c r="C890" s="59"/>
      <c r="H890" s="52"/>
      <c r="I890" s="44"/>
      <c r="J890" s="63"/>
    </row>
    <row r="891">
      <c r="B891" s="50"/>
      <c r="C891" s="59"/>
      <c r="H891" s="52"/>
      <c r="I891" s="44"/>
      <c r="J891" s="63"/>
    </row>
    <row r="892">
      <c r="B892" s="50"/>
      <c r="C892" s="59"/>
      <c r="H892" s="52"/>
      <c r="I892" s="44"/>
      <c r="J892" s="63"/>
    </row>
    <row r="893">
      <c r="B893" s="50"/>
      <c r="C893" s="59"/>
      <c r="H893" s="52"/>
      <c r="I893" s="44"/>
      <c r="J893" s="63"/>
    </row>
    <row r="894">
      <c r="B894" s="50"/>
      <c r="C894" s="59"/>
      <c r="H894" s="52"/>
      <c r="I894" s="44"/>
      <c r="J894" s="63"/>
    </row>
    <row r="895">
      <c r="B895" s="50"/>
      <c r="C895" s="59"/>
      <c r="H895" s="52"/>
      <c r="I895" s="44"/>
      <c r="J895" s="63"/>
    </row>
    <row r="896">
      <c r="B896" s="50"/>
      <c r="C896" s="59"/>
      <c r="H896" s="52"/>
      <c r="I896" s="44"/>
      <c r="J896" s="63"/>
    </row>
    <row r="897">
      <c r="B897" s="50"/>
      <c r="C897" s="59"/>
      <c r="H897" s="52"/>
      <c r="I897" s="44"/>
      <c r="J897" s="63"/>
    </row>
    <row r="898">
      <c r="B898" s="50"/>
      <c r="C898" s="59"/>
      <c r="H898" s="52"/>
      <c r="I898" s="44"/>
      <c r="J898" s="63"/>
    </row>
    <row r="899">
      <c r="B899" s="50"/>
      <c r="C899" s="59"/>
      <c r="H899" s="52"/>
      <c r="I899" s="44"/>
      <c r="J899" s="63"/>
    </row>
    <row r="900">
      <c r="B900" s="50"/>
      <c r="C900" s="59"/>
      <c r="H900" s="52"/>
      <c r="I900" s="44"/>
      <c r="J900" s="63"/>
    </row>
    <row r="901">
      <c r="B901" s="50"/>
      <c r="C901" s="59"/>
      <c r="H901" s="52"/>
      <c r="I901" s="44"/>
      <c r="J901" s="63"/>
    </row>
    <row r="902">
      <c r="B902" s="50"/>
      <c r="C902" s="59"/>
      <c r="H902" s="52"/>
      <c r="I902" s="44"/>
      <c r="J902" s="63"/>
    </row>
    <row r="903">
      <c r="B903" s="50"/>
      <c r="C903" s="59"/>
      <c r="H903" s="52"/>
      <c r="I903" s="44"/>
      <c r="J903" s="63"/>
    </row>
    <row r="904">
      <c r="B904" s="50"/>
      <c r="C904" s="59"/>
      <c r="H904" s="52"/>
      <c r="I904" s="44"/>
      <c r="J904" s="63"/>
    </row>
    <row r="905">
      <c r="B905" s="50"/>
      <c r="C905" s="59"/>
      <c r="H905" s="52"/>
      <c r="I905" s="44"/>
      <c r="J905" s="63"/>
    </row>
    <row r="906">
      <c r="B906" s="50"/>
      <c r="C906" s="59"/>
      <c r="H906" s="52"/>
      <c r="I906" s="44"/>
      <c r="J906" s="63"/>
    </row>
    <row r="907">
      <c r="B907" s="50"/>
      <c r="C907" s="59"/>
      <c r="H907" s="52"/>
      <c r="I907" s="44"/>
      <c r="J907" s="63"/>
    </row>
    <row r="908">
      <c r="B908" s="50"/>
      <c r="C908" s="59"/>
      <c r="H908" s="52"/>
      <c r="I908" s="44"/>
      <c r="J908" s="63"/>
    </row>
    <row r="909">
      <c r="B909" s="50"/>
      <c r="C909" s="59"/>
      <c r="H909" s="52"/>
      <c r="I909" s="44"/>
      <c r="J909" s="63"/>
    </row>
    <row r="910">
      <c r="B910" s="50"/>
      <c r="C910" s="59"/>
      <c r="H910" s="52"/>
      <c r="I910" s="44"/>
      <c r="J910" s="63"/>
    </row>
    <row r="911">
      <c r="B911" s="50"/>
      <c r="C911" s="59"/>
      <c r="H911" s="52"/>
      <c r="I911" s="44"/>
      <c r="J911" s="63"/>
    </row>
    <row r="912">
      <c r="B912" s="50"/>
      <c r="C912" s="59"/>
      <c r="H912" s="52"/>
      <c r="I912" s="44"/>
      <c r="J912" s="63"/>
    </row>
    <row r="913">
      <c r="B913" s="50"/>
      <c r="C913" s="59"/>
      <c r="H913" s="52"/>
      <c r="I913" s="44"/>
      <c r="J913" s="63"/>
    </row>
    <row r="914">
      <c r="B914" s="50"/>
      <c r="C914" s="59"/>
      <c r="H914" s="52"/>
      <c r="I914" s="44"/>
      <c r="J914" s="63"/>
    </row>
    <row r="915">
      <c r="B915" s="50"/>
      <c r="C915" s="59"/>
      <c r="H915" s="52"/>
      <c r="I915" s="44"/>
      <c r="J915" s="63"/>
    </row>
    <row r="916">
      <c r="B916" s="50"/>
      <c r="C916" s="59"/>
      <c r="H916" s="52"/>
      <c r="I916" s="44"/>
      <c r="J916" s="63"/>
    </row>
    <row r="917">
      <c r="B917" s="50"/>
      <c r="C917" s="59"/>
      <c r="H917" s="52"/>
      <c r="I917" s="44"/>
      <c r="J917" s="63"/>
    </row>
    <row r="918">
      <c r="B918" s="50"/>
      <c r="C918" s="59"/>
      <c r="H918" s="52"/>
      <c r="I918" s="44"/>
      <c r="J918" s="63"/>
    </row>
    <row r="919">
      <c r="B919" s="50"/>
      <c r="C919" s="59"/>
      <c r="H919" s="52"/>
      <c r="I919" s="44"/>
      <c r="J919" s="63"/>
    </row>
    <row r="920">
      <c r="B920" s="50"/>
      <c r="C920" s="59"/>
      <c r="H920" s="52"/>
      <c r="I920" s="44"/>
      <c r="J920" s="63"/>
    </row>
    <row r="921">
      <c r="B921" s="50"/>
      <c r="C921" s="59"/>
      <c r="H921" s="52"/>
      <c r="I921" s="44"/>
      <c r="J921" s="63"/>
    </row>
    <row r="922">
      <c r="B922" s="50"/>
      <c r="C922" s="59"/>
      <c r="H922" s="52"/>
      <c r="I922" s="44"/>
      <c r="J922" s="63"/>
    </row>
    <row r="923">
      <c r="B923" s="50"/>
      <c r="C923" s="59"/>
      <c r="H923" s="52"/>
      <c r="I923" s="44"/>
      <c r="J923" s="63"/>
    </row>
    <row r="924">
      <c r="B924" s="50"/>
      <c r="C924" s="59"/>
      <c r="H924" s="52"/>
      <c r="I924" s="44"/>
      <c r="J924" s="63"/>
    </row>
    <row r="925">
      <c r="B925" s="50"/>
      <c r="C925" s="59"/>
      <c r="H925" s="52"/>
      <c r="I925" s="44"/>
      <c r="J925" s="63"/>
    </row>
    <row r="926">
      <c r="B926" s="50"/>
      <c r="C926" s="59"/>
      <c r="H926" s="52"/>
      <c r="I926" s="44"/>
      <c r="J926" s="63"/>
    </row>
    <row r="927">
      <c r="B927" s="50"/>
      <c r="C927" s="59"/>
      <c r="H927" s="52"/>
      <c r="I927" s="44"/>
      <c r="J927" s="63"/>
    </row>
    <row r="928">
      <c r="B928" s="50"/>
      <c r="C928" s="59"/>
      <c r="H928" s="52"/>
      <c r="I928" s="44"/>
      <c r="J928" s="63"/>
    </row>
    <row r="929">
      <c r="B929" s="50"/>
      <c r="C929" s="59"/>
      <c r="H929" s="52"/>
      <c r="I929" s="44"/>
      <c r="J929" s="63"/>
    </row>
    <row r="930">
      <c r="B930" s="50"/>
      <c r="C930" s="59"/>
      <c r="H930" s="52"/>
      <c r="I930" s="44"/>
      <c r="J930" s="63"/>
    </row>
    <row r="931">
      <c r="B931" s="50"/>
      <c r="C931" s="59"/>
      <c r="H931" s="52"/>
      <c r="I931" s="44"/>
      <c r="J931" s="63"/>
    </row>
    <row r="932">
      <c r="B932" s="50"/>
      <c r="C932" s="59"/>
      <c r="H932" s="52"/>
      <c r="I932" s="44"/>
      <c r="J932" s="63"/>
    </row>
    <row r="933">
      <c r="B933" s="50"/>
      <c r="C933" s="59"/>
      <c r="H933" s="52"/>
      <c r="I933" s="44"/>
      <c r="J933" s="63"/>
    </row>
    <row r="934">
      <c r="B934" s="50"/>
      <c r="C934" s="59"/>
      <c r="H934" s="52"/>
      <c r="I934" s="44"/>
      <c r="J934" s="63"/>
    </row>
    <row r="935">
      <c r="B935" s="50"/>
      <c r="C935" s="59"/>
      <c r="H935" s="52"/>
      <c r="I935" s="44"/>
      <c r="J935" s="63"/>
    </row>
    <row r="936">
      <c r="B936" s="50"/>
      <c r="C936" s="59"/>
      <c r="H936" s="52"/>
      <c r="I936" s="44"/>
      <c r="J936" s="63"/>
    </row>
    <row r="937">
      <c r="B937" s="50"/>
      <c r="C937" s="59"/>
      <c r="H937" s="52"/>
      <c r="I937" s="44"/>
      <c r="J937" s="63"/>
    </row>
    <row r="938">
      <c r="B938" s="50"/>
      <c r="C938" s="59"/>
      <c r="H938" s="52"/>
      <c r="I938" s="44"/>
      <c r="J938" s="63"/>
    </row>
    <row r="939">
      <c r="B939" s="50"/>
      <c r="C939" s="59"/>
      <c r="H939" s="52"/>
      <c r="I939" s="44"/>
      <c r="J939" s="63"/>
    </row>
    <row r="940">
      <c r="B940" s="50"/>
      <c r="C940" s="59"/>
      <c r="H940" s="52"/>
      <c r="I940" s="44"/>
      <c r="J940" s="63"/>
    </row>
    <row r="941">
      <c r="B941" s="50"/>
      <c r="C941" s="59"/>
      <c r="H941" s="52"/>
      <c r="I941" s="44"/>
      <c r="J941" s="63"/>
    </row>
    <row r="942">
      <c r="B942" s="50"/>
      <c r="C942" s="59"/>
      <c r="H942" s="52"/>
      <c r="I942" s="44"/>
      <c r="J942" s="63"/>
    </row>
    <row r="943">
      <c r="B943" s="50"/>
      <c r="C943" s="59"/>
      <c r="H943" s="52"/>
      <c r="I943" s="44"/>
      <c r="J943" s="63"/>
    </row>
    <row r="944">
      <c r="B944" s="50"/>
      <c r="C944" s="59"/>
      <c r="H944" s="52"/>
      <c r="I944" s="44"/>
      <c r="J944" s="63"/>
    </row>
    <row r="945">
      <c r="B945" s="50"/>
      <c r="C945" s="59"/>
      <c r="H945" s="52"/>
      <c r="I945" s="44"/>
      <c r="J945" s="63"/>
    </row>
    <row r="946">
      <c r="B946" s="50"/>
      <c r="C946" s="59"/>
      <c r="H946" s="52"/>
      <c r="I946" s="44"/>
      <c r="J946" s="63"/>
    </row>
    <row r="947">
      <c r="B947" s="50"/>
      <c r="C947" s="59"/>
      <c r="H947" s="52"/>
      <c r="I947" s="44"/>
      <c r="J947" s="63"/>
    </row>
    <row r="948">
      <c r="B948" s="50"/>
      <c r="C948" s="59"/>
      <c r="H948" s="52"/>
      <c r="I948" s="44"/>
      <c r="J948" s="63"/>
    </row>
    <row r="949">
      <c r="B949" s="50"/>
      <c r="C949" s="59"/>
      <c r="H949" s="52"/>
      <c r="I949" s="44"/>
      <c r="J949" s="63"/>
    </row>
    <row r="950">
      <c r="B950" s="50"/>
      <c r="C950" s="59"/>
      <c r="H950" s="52"/>
      <c r="I950" s="44"/>
      <c r="J950" s="63"/>
    </row>
    <row r="951">
      <c r="B951" s="50"/>
      <c r="C951" s="59"/>
      <c r="H951" s="52"/>
      <c r="I951" s="44"/>
      <c r="J951" s="63"/>
    </row>
    <row r="952">
      <c r="B952" s="50"/>
      <c r="C952" s="59"/>
      <c r="H952" s="52"/>
      <c r="I952" s="44"/>
      <c r="J952" s="63"/>
    </row>
    <row r="953">
      <c r="B953" s="50"/>
      <c r="C953" s="59"/>
      <c r="H953" s="52"/>
      <c r="I953" s="44"/>
      <c r="J953" s="63"/>
    </row>
    <row r="954">
      <c r="B954" s="50"/>
      <c r="C954" s="59"/>
      <c r="H954" s="52"/>
      <c r="I954" s="44"/>
      <c r="J954" s="63"/>
    </row>
    <row r="955">
      <c r="B955" s="50"/>
      <c r="C955" s="59"/>
      <c r="H955" s="52"/>
      <c r="I955" s="44"/>
      <c r="J955" s="63"/>
    </row>
    <row r="956">
      <c r="B956" s="50"/>
      <c r="C956" s="59"/>
      <c r="H956" s="52"/>
      <c r="I956" s="44"/>
      <c r="J956" s="63"/>
    </row>
    <row r="957">
      <c r="B957" s="50"/>
      <c r="C957" s="59"/>
      <c r="H957" s="52"/>
      <c r="I957" s="44"/>
      <c r="J957" s="63"/>
    </row>
    <row r="958">
      <c r="B958" s="50"/>
      <c r="C958" s="59"/>
      <c r="H958" s="52"/>
      <c r="I958" s="44"/>
      <c r="J958" s="63"/>
    </row>
    <row r="959">
      <c r="B959" s="50"/>
      <c r="C959" s="59"/>
      <c r="H959" s="52"/>
      <c r="I959" s="44"/>
      <c r="J959" s="63"/>
    </row>
    <row r="960">
      <c r="B960" s="50"/>
      <c r="C960" s="59"/>
      <c r="H960" s="52"/>
      <c r="I960" s="44"/>
      <c r="J960" s="63"/>
    </row>
    <row r="961">
      <c r="B961" s="50"/>
      <c r="C961" s="59"/>
      <c r="H961" s="52"/>
      <c r="I961" s="44"/>
      <c r="J961" s="63"/>
    </row>
    <row r="962">
      <c r="B962" s="50"/>
      <c r="C962" s="59"/>
      <c r="H962" s="52"/>
      <c r="I962" s="44"/>
      <c r="J962" s="63"/>
    </row>
    <row r="963">
      <c r="B963" s="50"/>
      <c r="C963" s="59"/>
      <c r="H963" s="52"/>
      <c r="I963" s="44"/>
      <c r="J963" s="63"/>
    </row>
    <row r="964">
      <c r="B964" s="50"/>
      <c r="C964" s="59"/>
      <c r="H964" s="52"/>
      <c r="I964" s="44"/>
      <c r="J964" s="63"/>
    </row>
    <row r="965">
      <c r="B965" s="50"/>
      <c r="C965" s="59"/>
      <c r="H965" s="52"/>
      <c r="I965" s="44"/>
      <c r="J965" s="63"/>
    </row>
    <row r="966">
      <c r="B966" s="50"/>
      <c r="C966" s="59"/>
      <c r="H966" s="52"/>
      <c r="I966" s="44"/>
      <c r="J966" s="63"/>
    </row>
    <row r="967">
      <c r="B967" s="50"/>
      <c r="C967" s="59"/>
      <c r="H967" s="52"/>
      <c r="I967" s="44"/>
      <c r="J967" s="63"/>
    </row>
    <row r="968">
      <c r="B968" s="50"/>
      <c r="C968" s="59"/>
      <c r="H968" s="52"/>
      <c r="I968" s="44"/>
      <c r="J968" s="63"/>
    </row>
    <row r="969">
      <c r="B969" s="50"/>
      <c r="C969" s="59"/>
      <c r="H969" s="52"/>
      <c r="I969" s="44"/>
      <c r="J969" s="63"/>
    </row>
    <row r="970">
      <c r="B970" s="50"/>
      <c r="C970" s="59"/>
      <c r="H970" s="52"/>
      <c r="I970" s="44"/>
      <c r="J970" s="63"/>
    </row>
    <row r="971">
      <c r="B971" s="50"/>
      <c r="C971" s="59"/>
      <c r="H971" s="52"/>
      <c r="I971" s="44"/>
      <c r="J971" s="63"/>
    </row>
    <row r="972">
      <c r="B972" s="50"/>
      <c r="C972" s="59"/>
      <c r="H972" s="52"/>
      <c r="I972" s="44"/>
      <c r="J972" s="63"/>
    </row>
    <row r="973">
      <c r="B973" s="50"/>
      <c r="C973" s="59"/>
      <c r="H973" s="52"/>
      <c r="I973" s="44"/>
      <c r="J973" s="63"/>
    </row>
    <row r="974">
      <c r="B974" s="50"/>
      <c r="C974" s="59"/>
      <c r="H974" s="52"/>
      <c r="I974" s="44"/>
      <c r="J974" s="63"/>
    </row>
    <row r="975">
      <c r="B975" s="50"/>
      <c r="C975" s="59"/>
      <c r="H975" s="52"/>
      <c r="I975" s="44"/>
      <c r="J975" s="63"/>
    </row>
    <row r="976">
      <c r="B976" s="50"/>
      <c r="C976" s="59"/>
      <c r="H976" s="52"/>
      <c r="I976" s="44"/>
      <c r="J976" s="63"/>
    </row>
    <row r="977">
      <c r="B977" s="50"/>
      <c r="C977" s="59"/>
      <c r="H977" s="52"/>
      <c r="I977" s="44"/>
      <c r="J977" s="63"/>
    </row>
    <row r="978">
      <c r="B978" s="50"/>
      <c r="C978" s="59"/>
      <c r="H978" s="52"/>
      <c r="I978" s="44"/>
      <c r="J978" s="63"/>
    </row>
    <row r="979">
      <c r="B979" s="50"/>
      <c r="C979" s="59"/>
      <c r="H979" s="52"/>
      <c r="I979" s="44"/>
      <c r="J979" s="63"/>
    </row>
    <row r="980">
      <c r="B980" s="50"/>
      <c r="C980" s="59"/>
      <c r="H980" s="52"/>
      <c r="I980" s="44"/>
      <c r="J980" s="63"/>
    </row>
    <row r="981">
      <c r="B981" s="50"/>
      <c r="C981" s="59"/>
      <c r="H981" s="52"/>
      <c r="I981" s="44"/>
      <c r="J981" s="63"/>
    </row>
    <row r="982">
      <c r="B982" s="50"/>
      <c r="C982" s="59"/>
      <c r="H982" s="52"/>
      <c r="I982" s="44"/>
      <c r="J982" s="63"/>
    </row>
    <row r="983">
      <c r="B983" s="50"/>
      <c r="C983" s="59"/>
      <c r="H983" s="52"/>
      <c r="I983" s="44"/>
      <c r="J983" s="63"/>
    </row>
    <row r="984">
      <c r="B984" s="50"/>
      <c r="C984" s="59"/>
      <c r="H984" s="52"/>
      <c r="I984" s="44"/>
      <c r="J984" s="63"/>
    </row>
    <row r="985">
      <c r="B985" s="50"/>
      <c r="C985" s="59"/>
      <c r="H985" s="52"/>
      <c r="I985" s="44"/>
      <c r="J985" s="63"/>
    </row>
    <row r="986">
      <c r="B986" s="50"/>
      <c r="C986" s="59"/>
      <c r="H986" s="52"/>
      <c r="I986" s="44"/>
      <c r="J986" s="63"/>
    </row>
    <row r="987">
      <c r="B987" s="50"/>
      <c r="C987" s="59"/>
      <c r="H987" s="52"/>
      <c r="I987" s="44"/>
      <c r="J987" s="63"/>
    </row>
    <row r="988">
      <c r="B988" s="50"/>
      <c r="C988" s="59"/>
      <c r="H988" s="52"/>
      <c r="I988" s="44"/>
      <c r="J988" s="63"/>
    </row>
    <row r="989">
      <c r="B989" s="50"/>
      <c r="C989" s="59"/>
      <c r="H989" s="52"/>
      <c r="I989" s="44"/>
      <c r="J989" s="63"/>
    </row>
    <row r="990">
      <c r="B990" s="50"/>
      <c r="C990" s="59"/>
      <c r="H990" s="52"/>
      <c r="I990" s="44"/>
      <c r="J990" s="63"/>
    </row>
    <row r="991">
      <c r="B991" s="50"/>
      <c r="C991" s="59"/>
      <c r="H991" s="52"/>
      <c r="I991" s="44"/>
      <c r="J991" s="63"/>
    </row>
    <row r="992">
      <c r="B992" s="50"/>
      <c r="C992" s="59"/>
      <c r="H992" s="52"/>
      <c r="I992" s="44"/>
      <c r="J992" s="63"/>
    </row>
    <row r="993">
      <c r="B993" s="50"/>
      <c r="C993" s="59"/>
      <c r="H993" s="52"/>
      <c r="I993" s="44"/>
      <c r="J993" s="63"/>
    </row>
    <row r="994">
      <c r="B994" s="50"/>
      <c r="C994" s="59"/>
      <c r="H994" s="52"/>
      <c r="I994" s="44"/>
      <c r="J994" s="63"/>
    </row>
    <row r="995">
      <c r="B995" s="50"/>
      <c r="C995" s="59"/>
      <c r="H995" s="52"/>
      <c r="I995" s="44"/>
      <c r="J995" s="63"/>
    </row>
    <row r="996">
      <c r="B996" s="50"/>
      <c r="C996" s="59"/>
      <c r="H996" s="52"/>
      <c r="I996" s="44"/>
      <c r="J996" s="63"/>
    </row>
    <row r="997">
      <c r="B997" s="50"/>
      <c r="C997" s="59"/>
      <c r="H997" s="52"/>
      <c r="I997" s="44"/>
      <c r="J997" s="63"/>
    </row>
    <row r="998">
      <c r="B998" s="50"/>
      <c r="C998" s="59"/>
      <c r="H998" s="52"/>
      <c r="I998" s="44"/>
      <c r="J998" s="63"/>
    </row>
    <row r="999">
      <c r="B999" s="50"/>
      <c r="C999" s="59"/>
      <c r="H999" s="52"/>
      <c r="I999" s="44"/>
      <c r="J999" s="63"/>
    </row>
    <row r="1000">
      <c r="B1000" s="50"/>
      <c r="C1000" s="59"/>
      <c r="H1000" s="52"/>
      <c r="I1000" s="44"/>
      <c r="J1000" s="63"/>
    </row>
  </sheetData>
  <mergeCells count="1">
    <mergeCell ref="I77:I83"/>
  </mergeCell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57"/>
    <col customWidth="1" min="3" max="3" width="17.0"/>
  </cols>
  <sheetData>
    <row r="1">
      <c r="C1" s="51" t="s">
        <v>43</v>
      </c>
      <c r="E1" s="42" t="s">
        <v>38</v>
      </c>
      <c r="G1" t="str">
        <f>IFERROR(__xludf.DUMMYFUNCTION("QUERY({F:F,F:F},""select Col1, count(Col2) where Col1 != '' group by Col1 label count(Col2) 'Releases/month'"",1)"),"")</f>
        <v/>
      </c>
      <c r="H1" s="52" t="str">
        <f>IFERROR(__xludf.DUMMYFUNCTION("""COMPUTED_VALUE"""),"Releases/month")</f>
        <v>Releases/month</v>
      </c>
      <c r="I1" s="4" t="s">
        <v>43</v>
      </c>
      <c r="J1" s="4" t="s">
        <v>152</v>
      </c>
      <c r="K1" s="49" t="str">
        <f>IFERROR(__xludf.DUMMYFUNCTION("QUERY({F:F,J:J},""select Col1, sum(Col2) where Col1 != '' group by Col1 label sum(Col2) 'Commits/month'"",1)"),"")</f>
        <v/>
      </c>
      <c r="L1" t="str">
        <f>IFERROR(__xludf.DUMMYFUNCTION("""COMPUTED_VALUE"""),"Commits/month")</f>
        <v>Commits/month</v>
      </c>
    </row>
    <row r="2">
      <c r="C2" s="59">
        <f t="shared" ref="C2:C93" si="1">B2-$B$94</f>
        <v>-0.02888071008</v>
      </c>
      <c r="E2" s="47">
        <v>40718.0</v>
      </c>
      <c r="F2" t="str">
        <f t="shared" ref="F2:F344" si="2">TEXT(E2, "YYYY-MM")</f>
        <v>2011-06</v>
      </c>
      <c r="G2" s="55" t="str">
        <f>IFERROR(__xludf.DUMMYFUNCTION("""COMPUTED_VALUE"""),"2010-09")</f>
        <v>2010-09</v>
      </c>
      <c r="H2" s="52">
        <f>IFERROR(__xludf.DUMMYFUNCTION("""COMPUTED_VALUE"""),1.0)</f>
        <v>1</v>
      </c>
      <c r="I2">
        <f t="shared" ref="I2:I85" si="3">LOOKUP(G2, $A$1:A$93,$C$1:$C$93)</f>
        <v>-0.02888071008</v>
      </c>
      <c r="J2" s="45">
        <v>135.0</v>
      </c>
      <c r="K2" t="str">
        <f>IFERROR(__xludf.DUMMYFUNCTION("""COMPUTED_VALUE"""),"2010-09")</f>
        <v>2010-09</v>
      </c>
      <c r="L2">
        <f>IFERROR(__xludf.DUMMYFUNCTION("""COMPUTED_VALUE"""),0.0)</f>
        <v>0</v>
      </c>
    </row>
    <row r="3">
      <c r="C3" s="59">
        <f t="shared" si="1"/>
        <v>-0.004373967765</v>
      </c>
      <c r="E3" s="47">
        <v>40721.0</v>
      </c>
      <c r="F3" t="str">
        <f t="shared" si="2"/>
        <v>2011-06</v>
      </c>
      <c r="G3" t="str">
        <f>IFERROR(__xludf.DUMMYFUNCTION("""COMPUTED_VALUE"""),"2010-12")</f>
        <v>2010-12</v>
      </c>
      <c r="H3" s="52">
        <f>IFERROR(__xludf.DUMMYFUNCTION("""COMPUTED_VALUE"""),1.0)</f>
        <v>1</v>
      </c>
      <c r="I3">
        <f t="shared" si="3"/>
        <v>-0.007038286834</v>
      </c>
      <c r="J3" s="45">
        <v>21.0</v>
      </c>
      <c r="K3" t="str">
        <f>IFERROR(__xludf.DUMMYFUNCTION("""COMPUTED_VALUE"""),"2010-12")</f>
        <v>2010-12</v>
      </c>
      <c r="L3">
        <f>IFERROR(__xludf.DUMMYFUNCTION("""COMPUTED_VALUE"""),399.0)</f>
        <v>399</v>
      </c>
    </row>
    <row r="4">
      <c r="C4" s="59">
        <f t="shared" si="1"/>
        <v>0.00999000149</v>
      </c>
      <c r="E4" s="47">
        <v>40721.0</v>
      </c>
      <c r="F4" t="str">
        <f t="shared" si="2"/>
        <v>2011-06</v>
      </c>
      <c r="G4" t="str">
        <f>IFERROR(__xludf.DUMMYFUNCTION("""COMPUTED_VALUE"""),"2011-01")</f>
        <v>2011-01</v>
      </c>
      <c r="H4" s="52">
        <f>IFERROR(__xludf.DUMMYFUNCTION("""COMPUTED_VALUE"""),1.0)</f>
        <v>1</v>
      </c>
      <c r="I4">
        <f t="shared" si="3"/>
        <v>-0.04124227609</v>
      </c>
      <c r="J4" s="45">
        <v>2.0</v>
      </c>
      <c r="K4" t="str">
        <f>IFERROR(__xludf.DUMMYFUNCTION("""COMPUTED_VALUE"""),"2011-01")</f>
        <v>2011-01</v>
      </c>
      <c r="L4">
        <f>IFERROR(__xludf.DUMMYFUNCTION("""COMPUTED_VALUE"""),357.0)</f>
        <v>357</v>
      </c>
    </row>
    <row r="5">
      <c r="C5" s="59">
        <f t="shared" si="1"/>
        <v>-0.007038286834</v>
      </c>
      <c r="E5" s="47">
        <v>40728.0</v>
      </c>
      <c r="F5" t="str">
        <f t="shared" si="2"/>
        <v>2011-07</v>
      </c>
      <c r="G5" t="str">
        <f>IFERROR(__xludf.DUMMYFUNCTION("""COMPUTED_VALUE"""),"2011-02")</f>
        <v>2011-02</v>
      </c>
      <c r="H5" s="52">
        <f>IFERROR(__xludf.DUMMYFUNCTION("""COMPUTED_VALUE"""),1.0)</f>
        <v>1</v>
      </c>
      <c r="I5">
        <f t="shared" si="3"/>
        <v>-0.01448135131</v>
      </c>
      <c r="J5" s="45">
        <v>63.0</v>
      </c>
      <c r="K5" t="str">
        <f>IFERROR(__xludf.DUMMYFUNCTION("""COMPUTED_VALUE"""),"2011-02")</f>
        <v>2011-02</v>
      </c>
      <c r="L5">
        <f>IFERROR(__xludf.DUMMYFUNCTION("""COMPUTED_VALUE"""),361.0)</f>
        <v>361</v>
      </c>
    </row>
    <row r="6">
      <c r="C6" s="59">
        <f t="shared" si="1"/>
        <v>-0.04124227609</v>
      </c>
      <c r="E6" s="47">
        <v>40746.0</v>
      </c>
      <c r="F6" t="str">
        <f t="shared" si="2"/>
        <v>2011-07</v>
      </c>
      <c r="G6" t="str">
        <f>IFERROR(__xludf.DUMMYFUNCTION("""COMPUTED_VALUE"""),"2011-03")</f>
        <v>2011-03</v>
      </c>
      <c r="H6" s="52">
        <f>IFERROR(__xludf.DUMMYFUNCTION("""COMPUTED_VALUE"""),3.0)</f>
        <v>3</v>
      </c>
      <c r="I6">
        <f t="shared" si="3"/>
        <v>0.03188375323</v>
      </c>
      <c r="J6" s="45">
        <v>391.0</v>
      </c>
      <c r="K6" t="str">
        <f>IFERROR(__xludf.DUMMYFUNCTION("""COMPUTED_VALUE"""),"2011-03")</f>
        <v>2011-03</v>
      </c>
      <c r="L6">
        <f>IFERROR(__xludf.DUMMYFUNCTION("""COMPUTED_VALUE"""),1300.0)</f>
        <v>1300</v>
      </c>
    </row>
    <row r="7">
      <c r="C7" s="59">
        <f t="shared" si="1"/>
        <v>-0.01448135131</v>
      </c>
      <c r="E7" s="47">
        <v>40747.0</v>
      </c>
      <c r="F7" t="str">
        <f t="shared" si="2"/>
        <v>2011-07</v>
      </c>
      <c r="G7" t="str">
        <f>IFERROR(__xludf.DUMMYFUNCTION("""COMPUTED_VALUE"""),"2011-04")</f>
        <v>2011-04</v>
      </c>
      <c r="H7" s="52">
        <f>IFERROR(__xludf.DUMMYFUNCTION("""COMPUTED_VALUE"""),4.0)</f>
        <v>4</v>
      </c>
      <c r="I7">
        <f t="shared" si="3"/>
        <v>0.02088561182</v>
      </c>
      <c r="J7" s="45">
        <v>9.0</v>
      </c>
      <c r="K7" t="str">
        <f>IFERROR(__xludf.DUMMYFUNCTION("""COMPUTED_VALUE"""),"2011-04")</f>
        <v>2011-04</v>
      </c>
      <c r="L7">
        <f>IFERROR(__xludf.DUMMYFUNCTION("""COMPUTED_VALUE"""),1029.0)</f>
        <v>1029</v>
      </c>
    </row>
    <row r="8">
      <c r="C8" s="59">
        <f t="shared" si="1"/>
        <v>0.03188375323</v>
      </c>
      <c r="E8" s="47">
        <v>40662.0</v>
      </c>
      <c r="F8" t="str">
        <f t="shared" si="2"/>
        <v>2011-04</v>
      </c>
      <c r="G8" t="str">
        <f>IFERROR(__xludf.DUMMYFUNCTION("""COMPUTED_VALUE"""),"2011-05")</f>
        <v>2011-05</v>
      </c>
      <c r="H8" s="52">
        <f>IFERROR(__xludf.DUMMYFUNCTION("""COMPUTED_VALUE"""),2.0)</f>
        <v>2</v>
      </c>
      <c r="I8">
        <f t="shared" si="3"/>
        <v>0.04402973707</v>
      </c>
      <c r="J8" s="45">
        <v>654.0</v>
      </c>
      <c r="K8" t="str">
        <f>IFERROR(__xludf.DUMMYFUNCTION("""COMPUTED_VALUE"""),"2011-05")</f>
        <v>2011-05</v>
      </c>
      <c r="L8">
        <f>IFERROR(__xludf.DUMMYFUNCTION("""COMPUTED_VALUE"""),722.0)</f>
        <v>722</v>
      </c>
    </row>
    <row r="9">
      <c r="C9" s="59">
        <f t="shared" si="1"/>
        <v>0.02088561182</v>
      </c>
      <c r="E9" s="47">
        <v>40686.0</v>
      </c>
      <c r="F9" t="str">
        <f t="shared" si="2"/>
        <v>2011-05</v>
      </c>
      <c r="G9" t="str">
        <f>IFERROR(__xludf.DUMMYFUNCTION("""COMPUTED_VALUE"""),"2011-06")</f>
        <v>2011-06</v>
      </c>
      <c r="H9" s="52">
        <f>IFERROR(__xludf.DUMMYFUNCTION("""COMPUTED_VALUE"""),5.0)</f>
        <v>5</v>
      </c>
      <c r="I9">
        <f t="shared" si="3"/>
        <v>0.02920367002</v>
      </c>
      <c r="J9" s="45">
        <v>604.0</v>
      </c>
      <c r="K9" t="str">
        <f>IFERROR(__xludf.DUMMYFUNCTION("""COMPUTED_VALUE"""),"2011-06")</f>
        <v>2011-06</v>
      </c>
      <c r="L9">
        <f>IFERROR(__xludf.DUMMYFUNCTION("""COMPUTED_VALUE"""),676.0)</f>
        <v>676</v>
      </c>
    </row>
    <row r="10">
      <c r="C10" s="59">
        <f t="shared" si="1"/>
        <v>0.04402973707</v>
      </c>
      <c r="E10" s="47">
        <v>40690.0</v>
      </c>
      <c r="F10" t="str">
        <f t="shared" si="2"/>
        <v>2011-05</v>
      </c>
      <c r="G10" t="str">
        <f>IFERROR(__xludf.DUMMYFUNCTION("""COMPUTED_VALUE"""),"2011-07")</f>
        <v>2011-07</v>
      </c>
      <c r="H10" s="52">
        <f>IFERROR(__xludf.DUMMYFUNCTION("""COMPUTED_VALUE"""),4.0)</f>
        <v>4</v>
      </c>
      <c r="I10">
        <f t="shared" si="3"/>
        <v>0.006201923238</v>
      </c>
      <c r="J10" s="45">
        <v>118.0</v>
      </c>
      <c r="K10" t="str">
        <f>IFERROR(__xludf.DUMMYFUNCTION("""COMPUTED_VALUE"""),"2011-07")</f>
        <v>2011-07</v>
      </c>
      <c r="L10">
        <f>IFERROR(__xludf.DUMMYFUNCTION("""COMPUTED_VALUE"""),558.0)</f>
        <v>558</v>
      </c>
    </row>
    <row r="11">
      <c r="C11" s="59">
        <f t="shared" si="1"/>
        <v>0.02920367002</v>
      </c>
      <c r="E11" s="47">
        <v>40700.0</v>
      </c>
      <c r="F11" t="str">
        <f t="shared" si="2"/>
        <v>2011-06</v>
      </c>
      <c r="G11" t="str">
        <f>IFERROR(__xludf.DUMMYFUNCTION("""COMPUTED_VALUE"""),"2011-08")</f>
        <v>2011-08</v>
      </c>
      <c r="H11" s="52">
        <f>IFERROR(__xludf.DUMMYFUNCTION("""COMPUTED_VALUE"""),1.0)</f>
        <v>1</v>
      </c>
      <c r="I11">
        <f t="shared" si="3"/>
        <v>-0.003799295658</v>
      </c>
      <c r="J11" s="45">
        <v>166.0</v>
      </c>
      <c r="K11" t="str">
        <f>IFERROR(__xludf.DUMMYFUNCTION("""COMPUTED_VALUE"""),"2011-08")</f>
        <v>2011-08</v>
      </c>
      <c r="L11">
        <f>IFERROR(__xludf.DUMMYFUNCTION("""COMPUTED_VALUE"""),128.0)</f>
        <v>128</v>
      </c>
    </row>
    <row r="12">
      <c r="C12" s="59">
        <f t="shared" si="1"/>
        <v>0.006201923238</v>
      </c>
      <c r="E12" s="47">
        <v>40710.0</v>
      </c>
      <c r="F12" t="str">
        <f t="shared" si="2"/>
        <v>2011-06</v>
      </c>
      <c r="G12" t="str">
        <f>IFERROR(__xludf.DUMMYFUNCTION("""COMPUTED_VALUE"""),"2011-09")</f>
        <v>2011-09</v>
      </c>
      <c r="H12" s="52">
        <f>IFERROR(__xludf.DUMMYFUNCTION("""COMPUTED_VALUE"""),2.0)</f>
        <v>2</v>
      </c>
      <c r="I12">
        <f t="shared" si="3"/>
        <v>-0.01620846789</v>
      </c>
      <c r="J12" s="45">
        <v>352.0</v>
      </c>
      <c r="K12" t="str">
        <f>IFERROR(__xludf.DUMMYFUNCTION("""COMPUTED_VALUE"""),"2011-09")</f>
        <v>2011-09</v>
      </c>
      <c r="L12">
        <f>IFERROR(__xludf.DUMMYFUNCTION("""COMPUTED_VALUE"""),119.0)</f>
        <v>119</v>
      </c>
    </row>
    <row r="13">
      <c r="C13" s="59">
        <f t="shared" si="1"/>
        <v>-0.003799295658</v>
      </c>
      <c r="E13" s="47">
        <v>40623.0</v>
      </c>
      <c r="F13" t="str">
        <f t="shared" si="2"/>
        <v>2011-03</v>
      </c>
      <c r="G13" t="str">
        <f>IFERROR(__xludf.DUMMYFUNCTION("""COMPUTED_VALUE"""),"2011-12")</f>
        <v>2011-12</v>
      </c>
      <c r="H13" s="52">
        <f>IFERROR(__xludf.DUMMYFUNCTION("""COMPUTED_VALUE"""),2.0)</f>
        <v>2</v>
      </c>
      <c r="I13">
        <f t="shared" si="3"/>
        <v>-0.006465984467</v>
      </c>
      <c r="J13" s="45">
        <v>1105.0</v>
      </c>
      <c r="K13" t="str">
        <f>IFERROR(__xludf.DUMMYFUNCTION("""COMPUTED_VALUE"""),"2011-12")</f>
        <v>2011-12</v>
      </c>
      <c r="L13">
        <f>IFERROR(__xludf.DUMMYFUNCTION("""COMPUTED_VALUE"""),420.0)</f>
        <v>420</v>
      </c>
    </row>
    <row r="14">
      <c r="C14" s="59">
        <f t="shared" si="1"/>
        <v>-0.01620846789</v>
      </c>
      <c r="E14" s="47">
        <v>40752.0</v>
      </c>
      <c r="F14" t="str">
        <f t="shared" si="2"/>
        <v>2011-07</v>
      </c>
      <c r="G14" t="str">
        <f>IFERROR(__xludf.DUMMYFUNCTION("""COMPUTED_VALUE"""),"2012-01")</f>
        <v>2012-01</v>
      </c>
      <c r="H14" s="52">
        <f>IFERROR(__xludf.DUMMYFUNCTION("""COMPUTED_VALUE"""),1.0)</f>
        <v>1</v>
      </c>
      <c r="I14">
        <f t="shared" si="3"/>
        <v>-0.003928134376</v>
      </c>
      <c r="J14" s="45">
        <v>95.0</v>
      </c>
      <c r="K14" t="str">
        <f>IFERROR(__xludf.DUMMYFUNCTION("""COMPUTED_VALUE"""),"2012-01")</f>
        <v>2012-01</v>
      </c>
      <c r="L14">
        <f>IFERROR(__xludf.DUMMYFUNCTION("""COMPUTED_VALUE"""),49.0)</f>
        <v>49</v>
      </c>
    </row>
    <row r="15">
      <c r="C15" s="59">
        <f t="shared" si="1"/>
        <v>-0.004173528159</v>
      </c>
      <c r="E15" s="47">
        <v>40781.0</v>
      </c>
      <c r="F15" t="str">
        <f t="shared" si="2"/>
        <v>2011-08</v>
      </c>
      <c r="G15" t="str">
        <f>IFERROR(__xludf.DUMMYFUNCTION("""COMPUTED_VALUE"""),"2012-02")</f>
        <v>2012-02</v>
      </c>
      <c r="H15" s="52">
        <f>IFERROR(__xludf.DUMMYFUNCTION("""COMPUTED_VALUE"""),2.0)</f>
        <v>2</v>
      </c>
      <c r="I15">
        <f t="shared" si="3"/>
        <v>-0.02844665337</v>
      </c>
      <c r="J15" s="45">
        <v>128.0</v>
      </c>
      <c r="K15" t="str">
        <f>IFERROR(__xludf.DUMMYFUNCTION("""COMPUTED_VALUE"""),"2012-02")</f>
        <v>2012-02</v>
      </c>
      <c r="L15">
        <f>IFERROR(__xludf.DUMMYFUNCTION("""COMPUTED_VALUE"""),103.0)</f>
        <v>103</v>
      </c>
    </row>
    <row r="16">
      <c r="C16" s="59">
        <f t="shared" si="1"/>
        <v>-0.05101120537</v>
      </c>
      <c r="E16" s="47">
        <v>40811.0</v>
      </c>
      <c r="F16" t="str">
        <f t="shared" si="2"/>
        <v>2011-09</v>
      </c>
      <c r="G16" t="str">
        <f>IFERROR(__xludf.DUMMYFUNCTION("""COMPUTED_VALUE"""),"2012-03")</f>
        <v>2012-03</v>
      </c>
      <c r="H16" s="52">
        <f>IFERROR(__xludf.DUMMYFUNCTION("""COMPUTED_VALUE"""),1.0)</f>
        <v>1</v>
      </c>
      <c r="I16">
        <f t="shared" si="3"/>
        <v>0.02829928754</v>
      </c>
      <c r="J16" s="45">
        <v>113.0</v>
      </c>
      <c r="K16" t="str">
        <f>IFERROR(__xludf.DUMMYFUNCTION("""COMPUTED_VALUE"""),"2012-03")</f>
        <v>2012-03</v>
      </c>
      <c r="L16">
        <f>IFERROR(__xludf.DUMMYFUNCTION("""COMPUTED_VALUE"""),62.0)</f>
        <v>62</v>
      </c>
    </row>
    <row r="17">
      <c r="C17" s="59">
        <f t="shared" si="1"/>
        <v>-0.006465984467</v>
      </c>
      <c r="E17" s="47">
        <v>40811.0</v>
      </c>
      <c r="F17" t="str">
        <f t="shared" si="2"/>
        <v>2011-09</v>
      </c>
      <c r="G17" t="str">
        <f>IFERROR(__xludf.DUMMYFUNCTION("""COMPUTED_VALUE"""),"2012-04")</f>
        <v>2012-04</v>
      </c>
      <c r="H17" s="52">
        <f>IFERROR(__xludf.DUMMYFUNCTION("""COMPUTED_VALUE"""),1.0)</f>
        <v>1</v>
      </c>
      <c r="I17">
        <f t="shared" si="3"/>
        <v>0.02498932639</v>
      </c>
      <c r="J17" s="45">
        <v>6.0</v>
      </c>
      <c r="K17" t="str">
        <f>IFERROR(__xludf.DUMMYFUNCTION("""COMPUTED_VALUE"""),"2012-04")</f>
        <v>2012-04</v>
      </c>
      <c r="L17">
        <f>IFERROR(__xludf.DUMMYFUNCTION("""COMPUTED_VALUE"""),119.0)</f>
        <v>119</v>
      </c>
    </row>
    <row r="18">
      <c r="C18" s="59">
        <f t="shared" si="1"/>
        <v>-0.003928134376</v>
      </c>
      <c r="E18" s="47">
        <v>40885.0</v>
      </c>
      <c r="F18" t="str">
        <f t="shared" si="2"/>
        <v>2011-12</v>
      </c>
      <c r="G18" t="str">
        <f>IFERROR(__xludf.DUMMYFUNCTION("""COMPUTED_VALUE"""),"2012-05")</f>
        <v>2012-05</v>
      </c>
      <c r="H18" s="52">
        <f>IFERROR(__xludf.DUMMYFUNCTION("""COMPUTED_VALUE"""),2.0)</f>
        <v>2</v>
      </c>
      <c r="I18">
        <f t="shared" si="3"/>
        <v>-0.058403876</v>
      </c>
      <c r="J18" s="45">
        <v>317.0</v>
      </c>
      <c r="K18" t="str">
        <f>IFERROR(__xludf.DUMMYFUNCTION("""COMPUTED_VALUE"""),"2012-05")</f>
        <v>2012-05</v>
      </c>
      <c r="L18">
        <f>IFERROR(__xludf.DUMMYFUNCTION("""COMPUTED_VALUE"""),87.0)</f>
        <v>87</v>
      </c>
    </row>
    <row r="19">
      <c r="C19" s="59">
        <f t="shared" si="1"/>
        <v>-0.02844665337</v>
      </c>
      <c r="E19" s="47">
        <v>40903.0</v>
      </c>
      <c r="F19" t="str">
        <f t="shared" si="2"/>
        <v>2011-12</v>
      </c>
      <c r="G19" t="str">
        <f>IFERROR(__xludf.DUMMYFUNCTION("""COMPUTED_VALUE"""),"2012-07")</f>
        <v>2012-07</v>
      </c>
      <c r="H19" s="52">
        <f>IFERROR(__xludf.DUMMYFUNCTION("""COMPUTED_VALUE"""),1.0)</f>
        <v>1</v>
      </c>
      <c r="I19">
        <f t="shared" si="3"/>
        <v>0.02998952741</v>
      </c>
      <c r="J19" s="45">
        <v>103.0</v>
      </c>
      <c r="K19" t="str">
        <f>IFERROR(__xludf.DUMMYFUNCTION("""COMPUTED_VALUE"""),"2012-07")</f>
        <v>2012-07</v>
      </c>
      <c r="L19">
        <f>IFERROR(__xludf.DUMMYFUNCTION("""COMPUTED_VALUE"""),39.0)</f>
        <v>39</v>
      </c>
    </row>
    <row r="20">
      <c r="C20" s="59">
        <f t="shared" si="1"/>
        <v>0.02829928754</v>
      </c>
      <c r="E20" s="47">
        <v>40914.0</v>
      </c>
      <c r="F20" t="str">
        <f t="shared" si="2"/>
        <v>2012-01</v>
      </c>
      <c r="G20" t="str">
        <f>IFERROR(__xludf.DUMMYFUNCTION("""COMPUTED_VALUE"""),"2012-08")</f>
        <v>2012-08</v>
      </c>
      <c r="H20" s="52">
        <f>IFERROR(__xludf.DUMMYFUNCTION("""COMPUTED_VALUE"""),1.0)</f>
        <v>1</v>
      </c>
      <c r="I20">
        <f t="shared" si="3"/>
        <v>0.04285808073</v>
      </c>
      <c r="J20" s="45">
        <v>49.0</v>
      </c>
      <c r="K20" t="str">
        <f>IFERROR(__xludf.DUMMYFUNCTION("""COMPUTED_VALUE"""),"2012-08")</f>
        <v>2012-08</v>
      </c>
      <c r="L20">
        <f>IFERROR(__xludf.DUMMYFUNCTION("""COMPUTED_VALUE"""),65.0)</f>
        <v>65</v>
      </c>
    </row>
    <row r="21">
      <c r="C21" s="59">
        <f t="shared" si="1"/>
        <v>0.02498932639</v>
      </c>
      <c r="E21" s="47">
        <v>40945.0</v>
      </c>
      <c r="F21" t="str">
        <f t="shared" si="2"/>
        <v>2012-02</v>
      </c>
      <c r="G21" t="str">
        <f>IFERROR(__xludf.DUMMYFUNCTION("""COMPUTED_VALUE"""),"2012-09")</f>
        <v>2012-09</v>
      </c>
      <c r="H21" s="52">
        <f>IFERROR(__xludf.DUMMYFUNCTION("""COMPUTED_VALUE"""),3.0)</f>
        <v>3</v>
      </c>
      <c r="I21">
        <f t="shared" si="3"/>
        <v>0.01086908127</v>
      </c>
      <c r="J21" s="45">
        <v>76.0</v>
      </c>
      <c r="K21" t="str">
        <f>IFERROR(__xludf.DUMMYFUNCTION("""COMPUTED_VALUE"""),"2012-09")</f>
        <v>2012-09</v>
      </c>
      <c r="L21">
        <f>IFERROR(__xludf.DUMMYFUNCTION("""COMPUTED_VALUE"""),3590.0)</f>
        <v>3590</v>
      </c>
    </row>
    <row r="22">
      <c r="C22" s="59">
        <f t="shared" si="1"/>
        <v>-0.058403876</v>
      </c>
      <c r="E22" s="47">
        <v>40963.0</v>
      </c>
      <c r="F22" t="str">
        <f t="shared" si="2"/>
        <v>2012-02</v>
      </c>
      <c r="G22" t="str">
        <f>IFERROR(__xludf.DUMMYFUNCTION("""COMPUTED_VALUE"""),"2012-10")</f>
        <v>2012-10</v>
      </c>
      <c r="H22" s="52">
        <f>IFERROR(__xludf.DUMMYFUNCTION("""COMPUTED_VALUE"""),2.0)</f>
        <v>2</v>
      </c>
      <c r="I22">
        <f t="shared" si="3"/>
        <v>0.05007039181</v>
      </c>
      <c r="J22" s="45">
        <v>27.0</v>
      </c>
      <c r="K22" t="str">
        <f>IFERROR(__xludf.DUMMYFUNCTION("""COMPUTED_VALUE"""),"2012-10")</f>
        <v>2012-10</v>
      </c>
      <c r="L22">
        <f>IFERROR(__xludf.DUMMYFUNCTION("""COMPUTED_VALUE"""),221.0)</f>
        <v>221</v>
      </c>
    </row>
    <row r="23">
      <c r="C23" s="59">
        <f t="shared" si="1"/>
        <v>0.02641622451</v>
      </c>
      <c r="E23" s="47">
        <v>40986.0</v>
      </c>
      <c r="F23" t="str">
        <f t="shared" si="2"/>
        <v>2012-03</v>
      </c>
      <c r="G23" t="str">
        <f>IFERROR(__xludf.DUMMYFUNCTION("""COMPUTED_VALUE"""),"2012-11")</f>
        <v>2012-11</v>
      </c>
      <c r="H23" s="52">
        <f>IFERROR(__xludf.DUMMYFUNCTION("""COMPUTED_VALUE"""),2.0)</f>
        <v>2</v>
      </c>
      <c r="I23">
        <f t="shared" si="3"/>
        <v>0.04032129574</v>
      </c>
      <c r="J23" s="45">
        <v>62.0</v>
      </c>
      <c r="K23" t="str">
        <f>IFERROR(__xludf.DUMMYFUNCTION("""COMPUTED_VALUE"""),"2012-11")</f>
        <v>2012-11</v>
      </c>
      <c r="L23">
        <f>IFERROR(__xludf.DUMMYFUNCTION("""COMPUTED_VALUE"""),184.0)</f>
        <v>184</v>
      </c>
    </row>
    <row r="24">
      <c r="C24" s="59">
        <f t="shared" si="1"/>
        <v>0.02998952741</v>
      </c>
      <c r="E24" s="47">
        <v>41029.0</v>
      </c>
      <c r="F24" t="str">
        <f t="shared" si="2"/>
        <v>2012-04</v>
      </c>
      <c r="G24" t="str">
        <f>IFERROR(__xludf.DUMMYFUNCTION("""COMPUTED_VALUE"""),"2012-12")</f>
        <v>2012-12</v>
      </c>
      <c r="H24" s="52">
        <f>IFERROR(__xludf.DUMMYFUNCTION("""COMPUTED_VALUE"""),4.0)</f>
        <v>4</v>
      </c>
      <c r="I24">
        <f t="shared" si="3"/>
        <v>0.009222612298</v>
      </c>
      <c r="J24" s="45">
        <v>119.0</v>
      </c>
      <c r="K24" t="str">
        <f>IFERROR(__xludf.DUMMYFUNCTION("""COMPUTED_VALUE"""),"2012-12")</f>
        <v>2012-12</v>
      </c>
      <c r="L24">
        <f>IFERROR(__xludf.DUMMYFUNCTION("""COMPUTED_VALUE"""),183.0)</f>
        <v>183</v>
      </c>
    </row>
    <row r="25">
      <c r="C25" s="59">
        <f t="shared" si="1"/>
        <v>0.04285808073</v>
      </c>
      <c r="E25" s="47">
        <v>41046.0</v>
      </c>
      <c r="F25" t="str">
        <f t="shared" si="2"/>
        <v>2012-05</v>
      </c>
      <c r="G25" t="str">
        <f>IFERROR(__xludf.DUMMYFUNCTION("""COMPUTED_VALUE"""),"2013-01")</f>
        <v>2013-01</v>
      </c>
      <c r="H25" s="52">
        <f>IFERROR(__xludf.DUMMYFUNCTION("""COMPUTED_VALUE"""),2.0)</f>
        <v>2</v>
      </c>
      <c r="I25">
        <f t="shared" si="3"/>
        <v>-0.04166763415</v>
      </c>
      <c r="J25" s="45">
        <v>42.0</v>
      </c>
      <c r="K25" t="str">
        <f>IFERROR(__xludf.DUMMYFUNCTION("""COMPUTED_VALUE"""),"2013-01")</f>
        <v>2013-01</v>
      </c>
      <c r="L25">
        <f>IFERROR(__xludf.DUMMYFUNCTION("""COMPUTED_VALUE"""),188.0)</f>
        <v>188</v>
      </c>
    </row>
    <row r="26">
      <c r="C26" s="59">
        <f t="shared" si="1"/>
        <v>0.01086908127</v>
      </c>
      <c r="E26" s="47">
        <v>41059.0</v>
      </c>
      <c r="F26" t="str">
        <f t="shared" si="2"/>
        <v>2012-05</v>
      </c>
      <c r="G26" t="str">
        <f>IFERROR(__xludf.DUMMYFUNCTION("""COMPUTED_VALUE"""),"2013-02")</f>
        <v>2013-02</v>
      </c>
      <c r="H26" s="52">
        <f>IFERROR(__xludf.DUMMYFUNCTION("""COMPUTED_VALUE"""),1.0)</f>
        <v>1</v>
      </c>
      <c r="I26">
        <f t="shared" si="3"/>
        <v>-0.05041764029</v>
      </c>
      <c r="J26" s="45">
        <v>45.0</v>
      </c>
      <c r="K26" t="str">
        <f>IFERROR(__xludf.DUMMYFUNCTION("""COMPUTED_VALUE"""),"2013-02")</f>
        <v>2013-02</v>
      </c>
      <c r="L26">
        <f>IFERROR(__xludf.DUMMYFUNCTION("""COMPUTED_VALUE"""),91.0)</f>
        <v>91</v>
      </c>
    </row>
    <row r="27">
      <c r="C27" s="59">
        <f t="shared" si="1"/>
        <v>0.05007039181</v>
      </c>
      <c r="E27" s="47">
        <v>41101.0</v>
      </c>
      <c r="F27" t="str">
        <f t="shared" si="2"/>
        <v>2012-07</v>
      </c>
      <c r="G27" t="str">
        <f>IFERROR(__xludf.DUMMYFUNCTION("""COMPUTED_VALUE"""),"2013-03")</f>
        <v>2013-03</v>
      </c>
      <c r="H27" s="52">
        <f>IFERROR(__xludf.DUMMYFUNCTION("""COMPUTED_VALUE"""),3.0)</f>
        <v>3</v>
      </c>
      <c r="I27">
        <f t="shared" si="3"/>
        <v>-0.03279973255</v>
      </c>
      <c r="J27" s="45">
        <v>39.0</v>
      </c>
      <c r="K27" t="str">
        <f>IFERROR(__xludf.DUMMYFUNCTION("""COMPUTED_VALUE"""),"2013-03")</f>
        <v>2013-03</v>
      </c>
      <c r="L27">
        <f>IFERROR(__xludf.DUMMYFUNCTION("""COMPUTED_VALUE"""),1520.0)</f>
        <v>1520</v>
      </c>
    </row>
    <row r="28">
      <c r="C28" s="59">
        <f t="shared" si="1"/>
        <v>0.04032129574</v>
      </c>
      <c r="E28" s="47">
        <v>41149.0</v>
      </c>
      <c r="F28" t="str">
        <f t="shared" si="2"/>
        <v>2012-08</v>
      </c>
      <c r="G28" t="str">
        <f>IFERROR(__xludf.DUMMYFUNCTION("""COMPUTED_VALUE"""),"2013-04")</f>
        <v>2013-04</v>
      </c>
      <c r="H28" s="52">
        <f>IFERROR(__xludf.DUMMYFUNCTION("""COMPUTED_VALUE"""),1.0)</f>
        <v>1</v>
      </c>
      <c r="I28">
        <f t="shared" si="3"/>
        <v>0.05349793226</v>
      </c>
      <c r="J28" s="45">
        <v>65.0</v>
      </c>
      <c r="K28" t="str">
        <f>IFERROR(__xludf.DUMMYFUNCTION("""COMPUTED_VALUE"""),"2013-04")</f>
        <v>2013-04</v>
      </c>
      <c r="L28">
        <f>IFERROR(__xludf.DUMMYFUNCTION("""COMPUTED_VALUE"""),224.0)</f>
        <v>224</v>
      </c>
    </row>
    <row r="29">
      <c r="C29" s="59">
        <f t="shared" si="1"/>
        <v>0.009222612298</v>
      </c>
      <c r="E29" s="47">
        <v>41207.0</v>
      </c>
      <c r="F29" t="str">
        <f t="shared" si="2"/>
        <v>2012-10</v>
      </c>
      <c r="G29" t="str">
        <f>IFERROR(__xludf.DUMMYFUNCTION("""COMPUTED_VALUE"""),"2013-05")</f>
        <v>2013-05</v>
      </c>
      <c r="H29" s="52">
        <f>IFERROR(__xludf.DUMMYFUNCTION("""COMPUTED_VALUE"""),1.0)</f>
        <v>1</v>
      </c>
      <c r="I29">
        <f t="shared" si="3"/>
        <v>-0.0213347779</v>
      </c>
      <c r="J29" s="45">
        <v>41.0</v>
      </c>
      <c r="K29" t="str">
        <f>IFERROR(__xludf.DUMMYFUNCTION("""COMPUTED_VALUE"""),"2013-05")</f>
        <v>2013-05</v>
      </c>
      <c r="L29">
        <f>IFERROR(__xludf.DUMMYFUNCTION("""COMPUTED_VALUE"""),112.0)</f>
        <v>112</v>
      </c>
    </row>
    <row r="30">
      <c r="C30" s="59">
        <f t="shared" si="1"/>
        <v>-0.04166763415</v>
      </c>
      <c r="E30" s="47">
        <v>41242.0</v>
      </c>
      <c r="F30" t="str">
        <f t="shared" si="2"/>
        <v>2012-11</v>
      </c>
      <c r="G30" t="str">
        <f>IFERROR(__xludf.DUMMYFUNCTION("""COMPUTED_VALUE"""),"2013-06")</f>
        <v>2013-06</v>
      </c>
      <c r="H30" s="52">
        <f>IFERROR(__xludf.DUMMYFUNCTION("""COMPUTED_VALUE"""),5.0)</f>
        <v>5</v>
      </c>
      <c r="I30">
        <f t="shared" si="3"/>
        <v>0.0397383843</v>
      </c>
      <c r="J30" s="45">
        <v>56.0</v>
      </c>
      <c r="K30" t="str">
        <f>IFERROR(__xludf.DUMMYFUNCTION("""COMPUTED_VALUE"""),"2013-06")</f>
        <v>2013-06</v>
      </c>
      <c r="L30">
        <f>IFERROR(__xludf.DUMMYFUNCTION("""COMPUTED_VALUE"""),1153.0)</f>
        <v>1153</v>
      </c>
    </row>
    <row r="31">
      <c r="C31" s="59">
        <f t="shared" si="1"/>
        <v>-0.05041764029</v>
      </c>
      <c r="E31" s="47">
        <v>41263.0</v>
      </c>
      <c r="F31" t="str">
        <f t="shared" si="2"/>
        <v>2012-12</v>
      </c>
      <c r="G31" t="str">
        <f>IFERROR(__xludf.DUMMYFUNCTION("""COMPUTED_VALUE"""),"2013-07")</f>
        <v>2013-07</v>
      </c>
      <c r="H31" s="52">
        <f>IFERROR(__xludf.DUMMYFUNCTION("""COMPUTED_VALUE"""),2.0)</f>
        <v>2</v>
      </c>
      <c r="I31">
        <f t="shared" si="3"/>
        <v>-0.02427785575</v>
      </c>
      <c r="J31" s="45">
        <v>44.0</v>
      </c>
      <c r="K31" t="str">
        <f>IFERROR(__xludf.DUMMYFUNCTION("""COMPUTED_VALUE"""),"2013-07")</f>
        <v>2013-07</v>
      </c>
      <c r="L31">
        <f>IFERROR(__xludf.DUMMYFUNCTION("""COMPUTED_VALUE"""),152.0)</f>
        <v>152</v>
      </c>
    </row>
    <row r="32">
      <c r="C32" s="59">
        <f t="shared" si="1"/>
        <v>-0.03279973255</v>
      </c>
      <c r="E32" s="47">
        <v>41264.0</v>
      </c>
      <c r="F32" t="str">
        <f t="shared" si="2"/>
        <v>2012-12</v>
      </c>
      <c r="G32" t="str">
        <f>IFERROR(__xludf.DUMMYFUNCTION("""COMPUTED_VALUE"""),"2013-08")</f>
        <v>2013-08</v>
      </c>
      <c r="H32" s="52">
        <f>IFERROR(__xludf.DUMMYFUNCTION("""COMPUTED_VALUE"""),6.0)</f>
        <v>6</v>
      </c>
      <c r="I32">
        <f t="shared" si="3"/>
        <v>-0.07728469839</v>
      </c>
      <c r="J32" s="45">
        <v>5.0</v>
      </c>
      <c r="K32" t="str">
        <f>IFERROR(__xludf.DUMMYFUNCTION("""COMPUTED_VALUE"""),"2013-08")</f>
        <v>2013-08</v>
      </c>
      <c r="L32">
        <f>IFERROR(__xludf.DUMMYFUNCTION("""COMPUTED_VALUE"""),395.0)</f>
        <v>395</v>
      </c>
    </row>
    <row r="33">
      <c r="C33" s="59">
        <f t="shared" si="1"/>
        <v>0.05349793226</v>
      </c>
      <c r="E33" s="47">
        <v>41291.0</v>
      </c>
      <c r="F33" t="str">
        <f t="shared" si="2"/>
        <v>2013-01</v>
      </c>
      <c r="G33" t="str">
        <f>IFERROR(__xludf.DUMMYFUNCTION("""COMPUTED_VALUE"""),"2013-09")</f>
        <v>2013-09</v>
      </c>
      <c r="H33" s="52">
        <f>IFERROR(__xludf.DUMMYFUNCTION("""COMPUTED_VALUE"""),3.0)</f>
        <v>3</v>
      </c>
      <c r="I33">
        <f t="shared" si="3"/>
        <v>0.01610874801</v>
      </c>
      <c r="J33" s="45">
        <v>52.0</v>
      </c>
      <c r="K33" t="str">
        <f>IFERROR(__xludf.DUMMYFUNCTION("""COMPUTED_VALUE"""),"2013-09")</f>
        <v>2013-09</v>
      </c>
      <c r="L33">
        <f>IFERROR(__xludf.DUMMYFUNCTION("""COMPUTED_VALUE"""),375.0)</f>
        <v>375</v>
      </c>
    </row>
    <row r="34">
      <c r="C34" s="59">
        <f t="shared" si="1"/>
        <v>-0.0213347779</v>
      </c>
      <c r="E34" s="47">
        <v>41353.0</v>
      </c>
      <c r="F34" t="str">
        <f t="shared" si="2"/>
        <v>2013-03</v>
      </c>
      <c r="G34" t="str">
        <f>IFERROR(__xludf.DUMMYFUNCTION("""COMPUTED_VALUE"""),"2013-10")</f>
        <v>2013-10</v>
      </c>
      <c r="H34" s="52">
        <f>IFERROR(__xludf.DUMMYFUNCTION("""COMPUTED_VALUE"""),6.0)</f>
        <v>6</v>
      </c>
      <c r="I34">
        <f t="shared" si="3"/>
        <v>0.007960628565</v>
      </c>
      <c r="J34" s="45">
        <v>37.0</v>
      </c>
      <c r="K34" t="str">
        <f>IFERROR(__xludf.DUMMYFUNCTION("""COMPUTED_VALUE"""),"2013-10")</f>
        <v>2013-10</v>
      </c>
      <c r="L34">
        <f>IFERROR(__xludf.DUMMYFUNCTION("""COMPUTED_VALUE"""),709.0)</f>
        <v>709</v>
      </c>
    </row>
    <row r="35">
      <c r="C35" s="59">
        <f t="shared" si="1"/>
        <v>0.0397383843</v>
      </c>
      <c r="E35" s="47">
        <v>41493.0</v>
      </c>
      <c r="F35" t="str">
        <f t="shared" si="2"/>
        <v>2013-08</v>
      </c>
      <c r="G35" t="str">
        <f>IFERROR(__xludf.DUMMYFUNCTION("""COMPUTED_VALUE"""),"2013-11")</f>
        <v>2013-11</v>
      </c>
      <c r="H35" s="52">
        <f>IFERROR(__xludf.DUMMYFUNCTION("""COMPUTED_VALUE"""),3.0)</f>
        <v>3</v>
      </c>
      <c r="I35">
        <f t="shared" si="3"/>
        <v>0.05418344904</v>
      </c>
      <c r="J35" s="45">
        <v>2.0</v>
      </c>
      <c r="K35" t="str">
        <f>IFERROR(__xludf.DUMMYFUNCTION("""COMPUTED_VALUE"""),"2013-11")</f>
        <v>2013-11</v>
      </c>
      <c r="L35">
        <f>IFERROR(__xludf.DUMMYFUNCTION("""COMPUTED_VALUE"""),326.0)</f>
        <v>326</v>
      </c>
    </row>
    <row r="36">
      <c r="C36" s="59">
        <f t="shared" si="1"/>
        <v>-0.02427785575</v>
      </c>
      <c r="E36" s="47">
        <v>41557.0</v>
      </c>
      <c r="F36" t="str">
        <f t="shared" si="2"/>
        <v>2013-10</v>
      </c>
      <c r="G36" t="str">
        <f>IFERROR(__xludf.DUMMYFUNCTION("""COMPUTED_VALUE"""),"2013-12")</f>
        <v>2013-12</v>
      </c>
      <c r="H36" s="52">
        <f>IFERROR(__xludf.DUMMYFUNCTION("""COMPUTED_VALUE"""),3.0)</f>
        <v>3</v>
      </c>
      <c r="I36">
        <f t="shared" si="3"/>
        <v>0.02417317988</v>
      </c>
      <c r="J36" s="45">
        <v>0.0</v>
      </c>
      <c r="K36" t="str">
        <f>IFERROR(__xludf.DUMMYFUNCTION("""COMPUTED_VALUE"""),"2013-12")</f>
        <v>2013-12</v>
      </c>
      <c r="L36">
        <f>IFERROR(__xludf.DUMMYFUNCTION("""COMPUTED_VALUE"""),277.0)</f>
        <v>277</v>
      </c>
    </row>
    <row r="37">
      <c r="C37" s="59">
        <f t="shared" si="1"/>
        <v>-0.07728469839</v>
      </c>
      <c r="E37" s="47">
        <v>41158.0</v>
      </c>
      <c r="F37" t="str">
        <f t="shared" si="2"/>
        <v>2012-09</v>
      </c>
      <c r="G37" t="str">
        <f>IFERROR(__xludf.DUMMYFUNCTION("""COMPUTED_VALUE"""),"2014-01")</f>
        <v>2014-01</v>
      </c>
      <c r="H37" s="52">
        <f>IFERROR(__xludf.DUMMYFUNCTION("""COMPUTED_VALUE"""),2.0)</f>
        <v>2</v>
      </c>
      <c r="I37">
        <f t="shared" si="3"/>
        <v>-0.04396987382</v>
      </c>
      <c r="J37" s="45">
        <v>3557.0</v>
      </c>
      <c r="K37" t="str">
        <f>IFERROR(__xludf.DUMMYFUNCTION("""COMPUTED_VALUE"""),"2014-01")</f>
        <v>2014-01</v>
      </c>
      <c r="L37">
        <f>IFERROR(__xludf.DUMMYFUNCTION("""COMPUTED_VALUE"""),337.0)</f>
        <v>337</v>
      </c>
    </row>
    <row r="38">
      <c r="C38" s="59">
        <f t="shared" si="1"/>
        <v>0.01610874801</v>
      </c>
      <c r="E38" s="47">
        <v>41163.0</v>
      </c>
      <c r="F38" t="str">
        <f t="shared" si="2"/>
        <v>2012-09</v>
      </c>
      <c r="G38" t="str">
        <f>IFERROR(__xludf.DUMMYFUNCTION("""COMPUTED_VALUE"""),"2014-02")</f>
        <v>2014-02</v>
      </c>
      <c r="H38" s="52">
        <f>IFERROR(__xludf.DUMMYFUNCTION("""COMPUTED_VALUE"""),3.0)</f>
        <v>3</v>
      </c>
      <c r="I38">
        <f t="shared" si="3"/>
        <v>0.03266273805</v>
      </c>
      <c r="J38" s="45">
        <v>8.0</v>
      </c>
      <c r="K38" t="str">
        <f>IFERROR(__xludf.DUMMYFUNCTION("""COMPUTED_VALUE"""),"2014-02")</f>
        <v>2014-02</v>
      </c>
      <c r="L38">
        <f>IFERROR(__xludf.DUMMYFUNCTION("""COMPUTED_VALUE"""),336.0)</f>
        <v>336</v>
      </c>
    </row>
    <row r="39">
      <c r="C39" s="59">
        <f t="shared" si="1"/>
        <v>0.007960628565</v>
      </c>
      <c r="E39" s="47">
        <v>41172.0</v>
      </c>
      <c r="F39" t="str">
        <f t="shared" si="2"/>
        <v>2012-09</v>
      </c>
      <c r="G39" t="str">
        <f>IFERROR(__xludf.DUMMYFUNCTION("""COMPUTED_VALUE"""),"2014-04")</f>
        <v>2014-04</v>
      </c>
      <c r="H39" s="52">
        <f>IFERROR(__xludf.DUMMYFUNCTION("""COMPUTED_VALUE"""),6.0)</f>
        <v>6</v>
      </c>
      <c r="I39">
        <f t="shared" si="3"/>
        <v>0.001734593201</v>
      </c>
      <c r="J39" s="45">
        <v>25.0</v>
      </c>
      <c r="K39" t="str">
        <f>IFERROR(__xludf.DUMMYFUNCTION("""COMPUTED_VALUE"""),"2014-04")</f>
        <v>2014-04</v>
      </c>
      <c r="L39">
        <f>IFERROR(__xludf.DUMMYFUNCTION("""COMPUTED_VALUE"""),1158.0)</f>
        <v>1158</v>
      </c>
    </row>
    <row r="40">
      <c r="C40" s="59">
        <f t="shared" si="1"/>
        <v>0.05418344904</v>
      </c>
      <c r="E40" s="47">
        <v>41212.0</v>
      </c>
      <c r="F40" t="str">
        <f t="shared" si="2"/>
        <v>2012-10</v>
      </c>
      <c r="G40" t="str">
        <f>IFERROR(__xludf.DUMMYFUNCTION("""COMPUTED_VALUE"""),"2014-05")</f>
        <v>2014-05</v>
      </c>
      <c r="H40" s="52">
        <f>IFERROR(__xludf.DUMMYFUNCTION("""COMPUTED_VALUE"""),7.0)</f>
        <v>7</v>
      </c>
      <c r="I40">
        <f t="shared" si="3"/>
        <v>-0.03760951424</v>
      </c>
      <c r="J40" s="45">
        <v>180.0</v>
      </c>
      <c r="K40" t="str">
        <f>IFERROR(__xludf.DUMMYFUNCTION("""COMPUTED_VALUE"""),"2014-05")</f>
        <v>2014-05</v>
      </c>
      <c r="L40">
        <f>IFERROR(__xludf.DUMMYFUNCTION("""COMPUTED_VALUE"""),492.0)</f>
        <v>492</v>
      </c>
    </row>
    <row r="41">
      <c r="C41" s="59">
        <f t="shared" si="1"/>
        <v>0.02417317988</v>
      </c>
      <c r="E41" s="47">
        <v>41242.0</v>
      </c>
      <c r="F41" t="str">
        <f t="shared" si="2"/>
        <v>2012-11</v>
      </c>
      <c r="G41" t="str">
        <f>IFERROR(__xludf.DUMMYFUNCTION("""COMPUTED_VALUE"""),"2014-07")</f>
        <v>2014-07</v>
      </c>
      <c r="H41" s="52">
        <f>IFERROR(__xludf.DUMMYFUNCTION("""COMPUTED_VALUE"""),6.0)</f>
        <v>6</v>
      </c>
      <c r="I41">
        <f t="shared" si="3"/>
        <v>0.03970765374</v>
      </c>
      <c r="J41" s="45">
        <v>128.0</v>
      </c>
      <c r="K41" t="str">
        <f>IFERROR(__xludf.DUMMYFUNCTION("""COMPUTED_VALUE"""),"2014-07")</f>
        <v>2014-07</v>
      </c>
      <c r="L41">
        <f>IFERROR(__xludf.DUMMYFUNCTION("""COMPUTED_VALUE"""),486.0)</f>
        <v>486</v>
      </c>
    </row>
    <row r="42">
      <c r="C42" s="59">
        <f t="shared" si="1"/>
        <v>-0.04396987382</v>
      </c>
      <c r="E42" s="47">
        <v>41263.0</v>
      </c>
      <c r="F42" t="str">
        <f t="shared" si="2"/>
        <v>2012-12</v>
      </c>
      <c r="G42" t="str">
        <f>IFERROR(__xludf.DUMMYFUNCTION("""COMPUTED_VALUE"""),"2014-08")</f>
        <v>2014-08</v>
      </c>
      <c r="H42" s="52">
        <f>IFERROR(__xludf.DUMMYFUNCTION("""COMPUTED_VALUE"""),1.0)</f>
        <v>1</v>
      </c>
      <c r="I42">
        <f t="shared" si="3"/>
        <v>-0.07415881449</v>
      </c>
      <c r="J42" s="45">
        <v>127.0</v>
      </c>
      <c r="K42" t="str">
        <f>IFERROR(__xludf.DUMMYFUNCTION("""COMPUTED_VALUE"""),"2014-08")</f>
        <v>2014-08</v>
      </c>
      <c r="L42">
        <f>IFERROR(__xludf.DUMMYFUNCTION("""COMPUTED_VALUE"""),142.0)</f>
        <v>142</v>
      </c>
    </row>
    <row r="43">
      <c r="C43" s="59">
        <f t="shared" si="1"/>
        <v>0.03266273805</v>
      </c>
      <c r="E43" s="47">
        <v>41264.0</v>
      </c>
      <c r="F43" t="str">
        <f t="shared" si="2"/>
        <v>2012-12</v>
      </c>
      <c r="G43" t="str">
        <f>IFERROR(__xludf.DUMMYFUNCTION("""COMPUTED_VALUE"""),"2014-09")</f>
        <v>2014-09</v>
      </c>
      <c r="H43" s="52">
        <f>IFERROR(__xludf.DUMMYFUNCTION("""COMPUTED_VALUE"""),6.0)</f>
        <v>6</v>
      </c>
      <c r="I43">
        <f t="shared" si="3"/>
        <v>0.03751150256</v>
      </c>
      <c r="J43" s="45">
        <v>7.0</v>
      </c>
      <c r="K43" t="str">
        <f>IFERROR(__xludf.DUMMYFUNCTION("""COMPUTED_VALUE"""),"2014-09")</f>
        <v>2014-09</v>
      </c>
      <c r="L43">
        <f>IFERROR(__xludf.DUMMYFUNCTION("""COMPUTED_VALUE"""),1034.0)</f>
        <v>1034</v>
      </c>
    </row>
    <row r="44">
      <c r="C44" s="59">
        <f t="shared" si="1"/>
        <v>-0.08165153144</v>
      </c>
      <c r="E44" s="47">
        <v>41291.0</v>
      </c>
      <c r="F44" t="str">
        <f t="shared" si="2"/>
        <v>2013-01</v>
      </c>
      <c r="G44" t="str">
        <f>IFERROR(__xludf.DUMMYFUNCTION("""COMPUTED_VALUE"""),"2014-10")</f>
        <v>2014-10</v>
      </c>
      <c r="H44" s="52">
        <f>IFERROR(__xludf.DUMMYFUNCTION("""COMPUTED_VALUE"""),2.0)</f>
        <v>2</v>
      </c>
      <c r="I44">
        <f t="shared" si="3"/>
        <v>0.02881520676</v>
      </c>
      <c r="J44" s="45">
        <v>136.0</v>
      </c>
      <c r="K44" t="str">
        <f>IFERROR(__xludf.DUMMYFUNCTION("""COMPUTED_VALUE"""),"2014-10")</f>
        <v>2014-10</v>
      </c>
      <c r="L44">
        <f>IFERROR(__xludf.DUMMYFUNCTION("""COMPUTED_VALUE"""),132.0)</f>
        <v>132</v>
      </c>
    </row>
    <row r="45">
      <c r="C45" s="59">
        <f t="shared" si="1"/>
        <v>0.001734593201</v>
      </c>
      <c r="E45" s="47">
        <v>41328.0</v>
      </c>
      <c r="F45" t="str">
        <f t="shared" si="2"/>
        <v>2013-02</v>
      </c>
      <c r="G45" t="str">
        <f>IFERROR(__xludf.DUMMYFUNCTION("""COMPUTED_VALUE"""),"2014-11")</f>
        <v>2014-11</v>
      </c>
      <c r="H45" s="52">
        <f>IFERROR(__xludf.DUMMYFUNCTION("""COMPUTED_VALUE"""),5.0)</f>
        <v>5</v>
      </c>
      <c r="I45">
        <f t="shared" si="3"/>
        <v>-0.03519093544</v>
      </c>
      <c r="J45" s="45">
        <v>91.0</v>
      </c>
      <c r="K45" t="str">
        <f>IFERROR(__xludf.DUMMYFUNCTION("""COMPUTED_VALUE"""),"2014-11")</f>
        <v>2014-11</v>
      </c>
      <c r="L45">
        <f>IFERROR(__xludf.DUMMYFUNCTION("""COMPUTED_VALUE"""),825.0)</f>
        <v>825</v>
      </c>
    </row>
    <row r="46">
      <c r="C46" s="59">
        <f t="shared" si="1"/>
        <v>-0.03760951424</v>
      </c>
      <c r="E46" s="47">
        <v>41359.0</v>
      </c>
      <c r="F46" t="str">
        <f t="shared" si="2"/>
        <v>2013-03</v>
      </c>
      <c r="G46" t="str">
        <f>IFERROR(__xludf.DUMMYFUNCTION("""COMPUTED_VALUE"""),"2014-12")</f>
        <v>2014-12</v>
      </c>
      <c r="H46" s="52">
        <f>IFERROR(__xludf.DUMMYFUNCTION("""COMPUTED_VALUE"""),3.0)</f>
        <v>3</v>
      </c>
      <c r="I46">
        <f t="shared" si="3"/>
        <v>0.004881825068</v>
      </c>
      <c r="J46" s="45">
        <v>115.0</v>
      </c>
      <c r="K46" t="str">
        <f>IFERROR(__xludf.DUMMYFUNCTION("""COMPUTED_VALUE"""),"2014-12")</f>
        <v>2014-12</v>
      </c>
      <c r="L46">
        <f>IFERROR(__xludf.DUMMYFUNCTION("""COMPUTED_VALUE"""),140.0)</f>
        <v>140</v>
      </c>
    </row>
    <row r="47">
      <c r="C47" s="59">
        <f t="shared" si="1"/>
        <v>-0.01269745686</v>
      </c>
      <c r="E47" s="47">
        <v>41400.0</v>
      </c>
      <c r="F47" t="str">
        <f t="shared" si="2"/>
        <v>2013-05</v>
      </c>
      <c r="G47" t="str">
        <f>IFERROR(__xludf.DUMMYFUNCTION("""COMPUTED_VALUE"""),"2015-01")</f>
        <v>2015-01</v>
      </c>
      <c r="H47" s="52">
        <f>IFERROR(__xludf.DUMMYFUNCTION("""COMPUTED_VALUE"""),5.0)</f>
        <v>5</v>
      </c>
      <c r="I47">
        <f t="shared" si="3"/>
        <v>-0.08965694526</v>
      </c>
      <c r="J47" s="45">
        <v>112.0</v>
      </c>
      <c r="K47" t="str">
        <f>IFERROR(__xludf.DUMMYFUNCTION("""COMPUTED_VALUE"""),"2015-01")</f>
        <v>2015-01</v>
      </c>
      <c r="L47">
        <f>IFERROR(__xludf.DUMMYFUNCTION("""COMPUTED_VALUE"""),961.0)</f>
        <v>961</v>
      </c>
    </row>
    <row r="48">
      <c r="C48" s="59">
        <f t="shared" si="1"/>
        <v>0.03970765374</v>
      </c>
      <c r="E48" s="47">
        <v>41427.0</v>
      </c>
      <c r="F48" t="str">
        <f t="shared" si="2"/>
        <v>2013-06</v>
      </c>
      <c r="G48" t="str">
        <f>IFERROR(__xludf.DUMMYFUNCTION("""COMPUTED_VALUE"""),"2015-02")</f>
        <v>2015-02</v>
      </c>
      <c r="H48" s="52">
        <f>IFERROR(__xludf.DUMMYFUNCTION("""COMPUTED_VALUE"""),2.0)</f>
        <v>2</v>
      </c>
      <c r="I48">
        <f t="shared" si="3"/>
        <v>0.04243506055</v>
      </c>
      <c r="J48" s="45">
        <v>33.0</v>
      </c>
      <c r="K48" t="str">
        <f>IFERROR(__xludf.DUMMYFUNCTION("""COMPUTED_VALUE"""),"2015-02")</f>
        <v>2015-02</v>
      </c>
      <c r="L48">
        <f>IFERROR(__xludf.DUMMYFUNCTION("""COMPUTED_VALUE"""),269.0)</f>
        <v>269</v>
      </c>
    </row>
    <row r="49">
      <c r="C49" s="59">
        <f t="shared" si="1"/>
        <v>-0.07415881449</v>
      </c>
      <c r="E49" s="47">
        <v>41493.0</v>
      </c>
      <c r="F49" t="str">
        <f t="shared" si="2"/>
        <v>2013-08</v>
      </c>
      <c r="G49" t="str">
        <f>IFERROR(__xludf.DUMMYFUNCTION("""COMPUTED_VALUE"""),"2015-03")</f>
        <v>2015-03</v>
      </c>
      <c r="H49" s="52">
        <f>IFERROR(__xludf.DUMMYFUNCTION("""COMPUTED_VALUE"""),2.0)</f>
        <v>2</v>
      </c>
      <c r="I49">
        <f t="shared" si="3"/>
        <v>0.06302793535</v>
      </c>
      <c r="J49" s="45">
        <v>12.0</v>
      </c>
      <c r="K49" t="str">
        <f>IFERROR(__xludf.DUMMYFUNCTION("""COMPUTED_VALUE"""),"2015-03")</f>
        <v>2015-03</v>
      </c>
      <c r="L49">
        <f>IFERROR(__xludf.DUMMYFUNCTION("""COMPUTED_VALUE"""),417.0)</f>
        <v>417</v>
      </c>
    </row>
    <row r="50">
      <c r="C50" s="59">
        <f t="shared" si="1"/>
        <v>0.03751150256</v>
      </c>
      <c r="E50" s="47">
        <v>41557.0</v>
      </c>
      <c r="F50" t="str">
        <f t="shared" si="2"/>
        <v>2013-10</v>
      </c>
      <c r="G50" t="str">
        <f>IFERROR(__xludf.DUMMYFUNCTION("""COMPUTED_VALUE"""),"2015-04")</f>
        <v>2015-04</v>
      </c>
      <c r="H50" s="52">
        <f>IFERROR(__xludf.DUMMYFUNCTION("""COMPUTED_VALUE"""),4.0)</f>
        <v>4</v>
      </c>
      <c r="I50">
        <f t="shared" si="3"/>
        <v>0.02455562359</v>
      </c>
      <c r="J50" s="45">
        <v>0.0</v>
      </c>
      <c r="K50" t="str">
        <f>IFERROR(__xludf.DUMMYFUNCTION("""COMPUTED_VALUE"""),"2015-04")</f>
        <v>2015-04</v>
      </c>
      <c r="L50">
        <f>IFERROR(__xludf.DUMMYFUNCTION("""COMPUTED_VALUE"""),1012.0)</f>
        <v>1012</v>
      </c>
    </row>
    <row r="51">
      <c r="C51" s="59">
        <f t="shared" si="1"/>
        <v>0.02881520676</v>
      </c>
      <c r="E51" s="47">
        <v>41334.0</v>
      </c>
      <c r="F51" t="str">
        <f t="shared" si="2"/>
        <v>2013-03</v>
      </c>
      <c r="G51" t="str">
        <f>IFERROR(__xludf.DUMMYFUNCTION("""COMPUTED_VALUE"""),"2015-05")</f>
        <v>2015-05</v>
      </c>
      <c r="H51" s="52">
        <f>IFERROR(__xludf.DUMMYFUNCTION("""COMPUTED_VALUE"""),9.0)</f>
        <v>9</v>
      </c>
      <c r="I51">
        <f t="shared" si="3"/>
        <v>-0.02765445331</v>
      </c>
      <c r="J51" s="45">
        <v>1368.0</v>
      </c>
      <c r="K51" t="str">
        <f>IFERROR(__xludf.DUMMYFUNCTION("""COMPUTED_VALUE"""),"2015-05")</f>
        <v>2015-05</v>
      </c>
      <c r="L51">
        <f>IFERROR(__xludf.DUMMYFUNCTION("""COMPUTED_VALUE"""),878.0)</f>
        <v>878</v>
      </c>
    </row>
    <row r="52">
      <c r="C52" s="59">
        <f t="shared" si="1"/>
        <v>-0.03519093544</v>
      </c>
      <c r="E52" s="47">
        <v>41370.0</v>
      </c>
      <c r="F52" t="str">
        <f t="shared" si="2"/>
        <v>2013-04</v>
      </c>
      <c r="G52" t="str">
        <f>IFERROR(__xludf.DUMMYFUNCTION("""COMPUTED_VALUE"""),"2015-06")</f>
        <v>2015-06</v>
      </c>
      <c r="H52" s="52">
        <f>IFERROR(__xludf.DUMMYFUNCTION("""COMPUTED_VALUE"""),1.0)</f>
        <v>1</v>
      </c>
      <c r="I52">
        <f t="shared" si="3"/>
        <v>-0.0156779922</v>
      </c>
      <c r="J52" s="45">
        <v>224.0</v>
      </c>
      <c r="K52" t="str">
        <f>IFERROR(__xludf.DUMMYFUNCTION("""COMPUTED_VALUE"""),"2015-06")</f>
        <v>2015-06</v>
      </c>
      <c r="L52">
        <f>IFERROR(__xludf.DUMMYFUNCTION("""COMPUTED_VALUE"""),106.0)</f>
        <v>106</v>
      </c>
    </row>
    <row r="53">
      <c r="C53" s="59">
        <f t="shared" si="1"/>
        <v>0.004881825068</v>
      </c>
      <c r="E53" s="47">
        <v>41427.0</v>
      </c>
      <c r="F53" t="str">
        <f t="shared" si="2"/>
        <v>2013-06</v>
      </c>
      <c r="G53" t="str">
        <f>IFERROR(__xludf.DUMMYFUNCTION("""COMPUTED_VALUE"""),"2015-07")</f>
        <v>2015-07</v>
      </c>
      <c r="H53" s="52">
        <f>IFERROR(__xludf.DUMMYFUNCTION("""COMPUTED_VALUE"""),5.0)</f>
        <v>5</v>
      </c>
      <c r="I53">
        <f t="shared" si="3"/>
        <v>-0.004245036028</v>
      </c>
      <c r="J53" s="45">
        <v>208.0</v>
      </c>
      <c r="K53" t="str">
        <f>IFERROR(__xludf.DUMMYFUNCTION("""COMPUTED_VALUE"""),"2015-07")</f>
        <v>2015-07</v>
      </c>
      <c r="L53">
        <f>IFERROR(__xludf.DUMMYFUNCTION("""COMPUTED_VALUE"""),642.0)</f>
        <v>642</v>
      </c>
    </row>
    <row r="54">
      <c r="C54" s="59">
        <f t="shared" si="1"/>
        <v>-0.08965694526</v>
      </c>
      <c r="E54" s="47">
        <v>41444.0</v>
      </c>
      <c r="F54" t="str">
        <f t="shared" si="2"/>
        <v>2013-06</v>
      </c>
      <c r="G54" t="str">
        <f>IFERROR(__xludf.DUMMYFUNCTION("""COMPUTED_VALUE"""),"2015-09")</f>
        <v>2015-09</v>
      </c>
      <c r="H54" s="52">
        <f>IFERROR(__xludf.DUMMYFUNCTION("""COMPUTED_VALUE"""),4.0)</f>
        <v>4</v>
      </c>
      <c r="I54">
        <f t="shared" si="3"/>
        <v>0.01271946919</v>
      </c>
      <c r="J54" s="45">
        <v>42.0</v>
      </c>
      <c r="K54" t="str">
        <f>IFERROR(__xludf.DUMMYFUNCTION("""COMPUTED_VALUE"""),"2015-09")</f>
        <v>2015-09</v>
      </c>
      <c r="L54">
        <f>IFERROR(__xludf.DUMMYFUNCTION("""COMPUTED_VALUE"""),506.0)</f>
        <v>506</v>
      </c>
    </row>
    <row r="55">
      <c r="C55" s="59">
        <f t="shared" si="1"/>
        <v>0.04243506055</v>
      </c>
      <c r="E55" s="47">
        <v>41470.0</v>
      </c>
      <c r="F55" t="str">
        <f t="shared" si="2"/>
        <v>2013-07</v>
      </c>
      <c r="G55" t="str">
        <f>IFERROR(__xludf.DUMMYFUNCTION("""COMPUTED_VALUE"""),"2015-10")</f>
        <v>2015-10</v>
      </c>
      <c r="H55" s="52">
        <f>IFERROR(__xludf.DUMMYFUNCTION("""COMPUTED_VALUE"""),2.0)</f>
        <v>2</v>
      </c>
      <c r="I55">
        <f t="shared" si="3"/>
        <v>0.009193437154</v>
      </c>
      <c r="J55" s="45">
        <v>41.0</v>
      </c>
      <c r="K55" t="str">
        <f>IFERROR(__xludf.DUMMYFUNCTION("""COMPUTED_VALUE"""),"2015-10")</f>
        <v>2015-10</v>
      </c>
      <c r="L55">
        <f>IFERROR(__xludf.DUMMYFUNCTION("""COMPUTED_VALUE"""),456.0)</f>
        <v>456</v>
      </c>
    </row>
    <row r="56">
      <c r="C56" s="59">
        <f t="shared" si="1"/>
        <v>0.06302793535</v>
      </c>
      <c r="E56" s="47">
        <v>41493.0</v>
      </c>
      <c r="F56" t="str">
        <f t="shared" si="2"/>
        <v>2013-08</v>
      </c>
      <c r="G56" t="str">
        <f>IFERROR(__xludf.DUMMYFUNCTION("""COMPUTED_VALUE"""),"2015-11")</f>
        <v>2015-11</v>
      </c>
      <c r="H56" s="52">
        <f>IFERROR(__xludf.DUMMYFUNCTION("""COMPUTED_VALUE"""),7.0)</f>
        <v>7</v>
      </c>
      <c r="I56">
        <f t="shared" si="3"/>
        <v>0.06764851685</v>
      </c>
      <c r="J56" s="45">
        <v>53.0</v>
      </c>
      <c r="K56" t="str">
        <f>IFERROR(__xludf.DUMMYFUNCTION("""COMPUTED_VALUE"""),"2015-11")</f>
        <v>2015-11</v>
      </c>
      <c r="L56">
        <f>IFERROR(__xludf.DUMMYFUNCTION("""COMPUTED_VALUE"""),3047.0)</f>
        <v>3047</v>
      </c>
    </row>
    <row r="57">
      <c r="C57" s="59">
        <f t="shared" si="1"/>
        <v>0.02455562359</v>
      </c>
      <c r="E57" s="47">
        <v>41512.0</v>
      </c>
      <c r="F57" t="str">
        <f t="shared" si="2"/>
        <v>2013-08</v>
      </c>
      <c r="G57" t="str">
        <f>IFERROR(__xludf.DUMMYFUNCTION("""COMPUTED_VALUE"""),"2015-12")</f>
        <v>2015-12</v>
      </c>
      <c r="H57" s="52">
        <f>IFERROR(__xludf.DUMMYFUNCTION("""COMPUTED_VALUE"""),4.0)</f>
        <v>4</v>
      </c>
      <c r="I57">
        <f t="shared" si="3"/>
        <v>0.02038222693</v>
      </c>
      <c r="J57" s="45">
        <v>91.0</v>
      </c>
      <c r="K57" t="str">
        <f>IFERROR(__xludf.DUMMYFUNCTION("""COMPUTED_VALUE"""),"2015-12")</f>
        <v>2015-12</v>
      </c>
      <c r="L57">
        <f>IFERROR(__xludf.DUMMYFUNCTION("""COMPUTED_VALUE"""),885.0)</f>
        <v>885</v>
      </c>
    </row>
    <row r="58">
      <c r="C58" s="59">
        <f t="shared" si="1"/>
        <v>-0.02765445331</v>
      </c>
      <c r="E58" s="47">
        <v>41543.0</v>
      </c>
      <c r="F58" t="str">
        <f t="shared" si="2"/>
        <v>2013-09</v>
      </c>
      <c r="G58" t="str">
        <f>IFERROR(__xludf.DUMMYFUNCTION("""COMPUTED_VALUE"""),"2016-01")</f>
        <v>2016-01</v>
      </c>
      <c r="H58" s="52">
        <f>IFERROR(__xludf.DUMMYFUNCTION("""COMPUTED_VALUE"""),4.0)</f>
        <v>4</v>
      </c>
      <c r="I58">
        <f t="shared" si="3"/>
        <v>0.02383025992</v>
      </c>
      <c r="J58" s="45">
        <v>148.0</v>
      </c>
      <c r="K58" t="str">
        <f>IFERROR(__xludf.DUMMYFUNCTION("""COMPUTED_VALUE"""),"2016-01")</f>
        <v>2016-01</v>
      </c>
      <c r="L58">
        <f>IFERROR(__xludf.DUMMYFUNCTION("""COMPUTED_VALUE"""),370.0)</f>
        <v>370</v>
      </c>
    </row>
    <row r="59">
      <c r="C59" s="59">
        <f t="shared" si="1"/>
        <v>-0.0156779922</v>
      </c>
      <c r="E59" s="47">
        <v>41543.0</v>
      </c>
      <c r="F59" t="str">
        <f t="shared" si="2"/>
        <v>2013-09</v>
      </c>
      <c r="G59" t="str">
        <f>IFERROR(__xludf.DUMMYFUNCTION("""COMPUTED_VALUE"""),"2016-02")</f>
        <v>2016-02</v>
      </c>
      <c r="H59" s="52">
        <f>IFERROR(__xludf.DUMMYFUNCTION("""COMPUTED_VALUE"""),5.0)</f>
        <v>5</v>
      </c>
      <c r="I59">
        <f t="shared" si="3"/>
        <v>0.03873505426</v>
      </c>
      <c r="J59" s="45">
        <v>4.0</v>
      </c>
      <c r="K59" t="str">
        <f>IFERROR(__xludf.DUMMYFUNCTION("""COMPUTED_VALUE"""),"2016-02")</f>
        <v>2016-02</v>
      </c>
      <c r="L59">
        <f>IFERROR(__xludf.DUMMYFUNCTION("""COMPUTED_VALUE"""),1838.0)</f>
        <v>1838</v>
      </c>
    </row>
    <row r="60">
      <c r="C60" s="59">
        <f t="shared" si="1"/>
        <v>-0.004245036028</v>
      </c>
      <c r="E60" s="47">
        <v>41557.0</v>
      </c>
      <c r="F60" t="str">
        <f t="shared" si="2"/>
        <v>2013-10</v>
      </c>
      <c r="G60" t="str">
        <f>IFERROR(__xludf.DUMMYFUNCTION("""COMPUTED_VALUE"""),"2016-03")</f>
        <v>2016-03</v>
      </c>
      <c r="H60" s="52">
        <f>IFERROR(__xludf.DUMMYFUNCTION("""COMPUTED_VALUE"""),4.0)</f>
        <v>4</v>
      </c>
      <c r="I60">
        <f t="shared" si="3"/>
        <v>0.003808318876</v>
      </c>
      <c r="J60" s="45">
        <v>39.0</v>
      </c>
      <c r="K60" t="str">
        <f>IFERROR(__xludf.DUMMYFUNCTION("""COMPUTED_VALUE"""),"2016-03")</f>
        <v>2016-03</v>
      </c>
      <c r="L60">
        <f>IFERROR(__xludf.DUMMYFUNCTION("""COMPUTED_VALUE"""),1023.0)</f>
        <v>1023</v>
      </c>
    </row>
    <row r="61">
      <c r="C61" s="59">
        <f t="shared" si="1"/>
        <v>-0.02214143467</v>
      </c>
      <c r="E61" s="47">
        <v>41591.0</v>
      </c>
      <c r="F61" t="str">
        <f t="shared" si="2"/>
        <v>2013-11</v>
      </c>
      <c r="G61" t="str">
        <f>IFERROR(__xludf.DUMMYFUNCTION("""COMPUTED_VALUE"""),"2016-04")</f>
        <v>2016-04</v>
      </c>
      <c r="H61" s="52">
        <f>IFERROR(__xludf.DUMMYFUNCTION("""COMPUTED_VALUE"""),2.0)</f>
        <v>2</v>
      </c>
      <c r="I61">
        <f t="shared" si="3"/>
        <v>-0.00899469472</v>
      </c>
      <c r="J61" s="45">
        <v>56.0</v>
      </c>
      <c r="K61" t="str">
        <f>IFERROR(__xludf.DUMMYFUNCTION("""COMPUTED_VALUE"""),"2016-04")</f>
        <v>2016-04</v>
      </c>
      <c r="L61">
        <f>IFERROR(__xludf.DUMMYFUNCTION("""COMPUTED_VALUE"""),261.0)</f>
        <v>261</v>
      </c>
    </row>
    <row r="62">
      <c r="C62" s="59">
        <f t="shared" si="1"/>
        <v>0.01271946919</v>
      </c>
      <c r="E62" s="47">
        <v>41610.0</v>
      </c>
      <c r="F62" t="str">
        <f t="shared" si="2"/>
        <v>2013-12</v>
      </c>
      <c r="G62" t="str">
        <f>IFERROR(__xludf.DUMMYFUNCTION("""COMPUTED_VALUE"""),"2016-05")</f>
        <v>2016-05</v>
      </c>
      <c r="H62" s="52">
        <f>IFERROR(__xludf.DUMMYFUNCTION("""COMPUTED_VALUE"""),10.0)</f>
        <v>10</v>
      </c>
      <c r="I62">
        <f t="shared" si="3"/>
        <v>-0.01228333126</v>
      </c>
      <c r="J62" s="45">
        <v>60.0</v>
      </c>
      <c r="K62" t="str">
        <f>IFERROR(__xludf.DUMMYFUNCTION("""COMPUTED_VALUE"""),"2016-05")</f>
        <v>2016-05</v>
      </c>
      <c r="L62">
        <f>IFERROR(__xludf.DUMMYFUNCTION("""COMPUTED_VALUE"""),1209.0)</f>
        <v>1209</v>
      </c>
    </row>
    <row r="63">
      <c r="C63" s="59">
        <f t="shared" si="1"/>
        <v>0.009193437154</v>
      </c>
      <c r="E63" s="47">
        <v>41428.0</v>
      </c>
      <c r="F63" t="str">
        <f t="shared" si="2"/>
        <v>2013-06</v>
      </c>
      <c r="G63" t="str">
        <f>IFERROR(__xludf.DUMMYFUNCTION("""COMPUTED_VALUE"""),"2016-06")</f>
        <v>2016-06</v>
      </c>
      <c r="H63" s="52">
        <f>IFERROR(__xludf.DUMMYFUNCTION("""COMPUTED_VALUE"""),8.0)</f>
        <v>8</v>
      </c>
      <c r="I63">
        <f t="shared" si="3"/>
        <v>-0.02878877418</v>
      </c>
      <c r="J63" s="45">
        <v>830.0</v>
      </c>
      <c r="K63" t="str">
        <f>IFERROR(__xludf.DUMMYFUNCTION("""COMPUTED_VALUE"""),"2016-06")</f>
        <v>2016-06</v>
      </c>
      <c r="L63">
        <f>IFERROR(__xludf.DUMMYFUNCTION("""COMPUTED_VALUE"""),1169.0)</f>
        <v>1169</v>
      </c>
    </row>
    <row r="64">
      <c r="C64" s="59">
        <f t="shared" si="1"/>
        <v>0.06764851685</v>
      </c>
      <c r="E64" s="47">
        <v>41436.0</v>
      </c>
      <c r="F64" t="str">
        <f t="shared" si="2"/>
        <v>2013-06</v>
      </c>
      <c r="G64" t="str">
        <f>IFERROR(__xludf.DUMMYFUNCTION("""COMPUTED_VALUE"""),"2016-07")</f>
        <v>2016-07</v>
      </c>
      <c r="H64" s="52">
        <f>IFERROR(__xludf.DUMMYFUNCTION("""COMPUTED_VALUE"""),4.0)</f>
        <v>4</v>
      </c>
      <c r="I64">
        <f t="shared" si="3"/>
        <v>-0.004614612067</v>
      </c>
      <c r="J64" s="45">
        <v>40.0</v>
      </c>
      <c r="K64" t="str">
        <f>IFERROR(__xludf.DUMMYFUNCTION("""COMPUTED_VALUE"""),"2016-07")</f>
        <v>2016-07</v>
      </c>
      <c r="L64">
        <f>IFERROR(__xludf.DUMMYFUNCTION("""COMPUTED_VALUE"""),509.0)</f>
        <v>509</v>
      </c>
    </row>
    <row r="65">
      <c r="C65" s="59">
        <f t="shared" si="1"/>
        <v>0.02038222693</v>
      </c>
      <c r="E65" s="47">
        <v>41472.0</v>
      </c>
      <c r="F65" t="str">
        <f t="shared" si="2"/>
        <v>2013-07</v>
      </c>
      <c r="G65" t="str">
        <f>IFERROR(__xludf.DUMMYFUNCTION("""COMPUTED_VALUE"""),"2016-09")</f>
        <v>2016-09</v>
      </c>
      <c r="H65" s="52">
        <f>IFERROR(__xludf.DUMMYFUNCTION("""COMPUTED_VALUE"""),5.0)</f>
        <v>5</v>
      </c>
      <c r="I65">
        <f t="shared" si="3"/>
        <v>0.01283455283</v>
      </c>
      <c r="J65" s="45">
        <v>111.0</v>
      </c>
      <c r="K65" t="str">
        <f>IFERROR(__xludf.DUMMYFUNCTION("""COMPUTED_VALUE"""),"2016-09")</f>
        <v>2016-09</v>
      </c>
      <c r="L65">
        <f>IFERROR(__xludf.DUMMYFUNCTION("""COMPUTED_VALUE"""),523.0)</f>
        <v>523</v>
      </c>
    </row>
    <row r="66">
      <c r="C66" s="59">
        <f t="shared" si="1"/>
        <v>0.02383025992</v>
      </c>
      <c r="E66" s="47">
        <v>41493.0</v>
      </c>
      <c r="F66" t="str">
        <f t="shared" si="2"/>
        <v>2013-08</v>
      </c>
      <c r="G66" t="str">
        <f>IFERROR(__xludf.DUMMYFUNCTION("""COMPUTED_VALUE"""),"2016-10")</f>
        <v>2016-10</v>
      </c>
      <c r="H66" s="52">
        <f>IFERROR(__xludf.DUMMYFUNCTION("""COMPUTED_VALUE"""),7.0)</f>
        <v>7</v>
      </c>
      <c r="I66">
        <f t="shared" si="3"/>
        <v>0.0113323214</v>
      </c>
      <c r="J66" s="45">
        <v>93.0</v>
      </c>
      <c r="K66" t="str">
        <f>IFERROR(__xludf.DUMMYFUNCTION("""COMPUTED_VALUE"""),"2016-10")</f>
        <v>2016-10</v>
      </c>
      <c r="L66">
        <f>IFERROR(__xludf.DUMMYFUNCTION("""COMPUTED_VALUE"""),1377.0)</f>
        <v>1377</v>
      </c>
    </row>
    <row r="67">
      <c r="C67" s="59">
        <f t="shared" si="1"/>
        <v>0.03873505426</v>
      </c>
      <c r="E67" s="47">
        <v>41513.0</v>
      </c>
      <c r="F67" t="str">
        <f t="shared" si="2"/>
        <v>2013-08</v>
      </c>
      <c r="G67" t="str">
        <f>IFERROR(__xludf.DUMMYFUNCTION("""COMPUTED_VALUE"""),"2016-11")</f>
        <v>2016-11</v>
      </c>
      <c r="H67" s="52">
        <f>IFERROR(__xludf.DUMMYFUNCTION("""COMPUTED_VALUE"""),6.0)</f>
        <v>6</v>
      </c>
      <c r="I67">
        <f t="shared" si="3"/>
        <v>0.02130768673</v>
      </c>
      <c r="J67" s="45">
        <v>144.0</v>
      </c>
      <c r="K67" t="str">
        <f>IFERROR(__xludf.DUMMYFUNCTION("""COMPUTED_VALUE"""),"2016-11")</f>
        <v>2016-11</v>
      </c>
      <c r="L67">
        <f>IFERROR(__xludf.DUMMYFUNCTION("""COMPUTED_VALUE"""),690.0)</f>
        <v>690</v>
      </c>
    </row>
    <row r="68">
      <c r="C68" s="59">
        <f t="shared" si="1"/>
        <v>0.003808318876</v>
      </c>
      <c r="E68" s="47">
        <v>41544.0</v>
      </c>
      <c r="F68" t="str">
        <f t="shared" si="2"/>
        <v>2013-09</v>
      </c>
      <c r="G68" t="str">
        <f>IFERROR(__xludf.DUMMYFUNCTION("""COMPUTED_VALUE"""),"2016-12")</f>
        <v>2016-12</v>
      </c>
      <c r="H68" s="52">
        <f>IFERROR(__xludf.DUMMYFUNCTION("""COMPUTED_VALUE"""),4.0)</f>
        <v>4</v>
      </c>
      <c r="I68">
        <f t="shared" si="3"/>
        <v>0.002365195097</v>
      </c>
      <c r="J68" s="45">
        <v>223.0</v>
      </c>
      <c r="K68" t="str">
        <f>IFERROR(__xludf.DUMMYFUNCTION("""COMPUTED_VALUE"""),"2016-12")</f>
        <v>2016-12</v>
      </c>
      <c r="L68">
        <f>IFERROR(__xludf.DUMMYFUNCTION("""COMPUTED_VALUE"""),581.0)</f>
        <v>581</v>
      </c>
    </row>
    <row r="69">
      <c r="C69" s="59">
        <f t="shared" si="1"/>
        <v>-0.00899469472</v>
      </c>
      <c r="E69" s="47">
        <v>41557.0</v>
      </c>
      <c r="F69" t="str">
        <f t="shared" si="2"/>
        <v>2013-10</v>
      </c>
      <c r="G69" t="str">
        <f>IFERROR(__xludf.DUMMYFUNCTION("""COMPUTED_VALUE"""),"2017-01")</f>
        <v>2017-01</v>
      </c>
      <c r="H69" s="52">
        <f>IFERROR(__xludf.DUMMYFUNCTION("""COMPUTED_VALUE"""),5.0)</f>
        <v>5</v>
      </c>
      <c r="I69">
        <f t="shared" si="3"/>
        <v>-0.03662101456</v>
      </c>
      <c r="J69" s="45">
        <v>54.0</v>
      </c>
      <c r="K69" t="str">
        <f>IFERROR(__xludf.DUMMYFUNCTION("""COMPUTED_VALUE"""),"2017-01")</f>
        <v>2017-01</v>
      </c>
      <c r="L69">
        <f>IFERROR(__xludf.DUMMYFUNCTION("""COMPUTED_VALUE"""),929.0)</f>
        <v>929</v>
      </c>
    </row>
    <row r="70">
      <c r="C70" s="59">
        <f t="shared" si="1"/>
        <v>-0.01228333126</v>
      </c>
      <c r="E70" s="47">
        <v>41592.0</v>
      </c>
      <c r="F70" t="str">
        <f t="shared" si="2"/>
        <v>2013-11</v>
      </c>
      <c r="G70" t="str">
        <f>IFERROR(__xludf.DUMMYFUNCTION("""COMPUTED_VALUE"""),"2017-02")</f>
        <v>2017-02</v>
      </c>
      <c r="H70" s="52">
        <f>IFERROR(__xludf.DUMMYFUNCTION("""COMPUTED_VALUE"""),4.0)</f>
        <v>4</v>
      </c>
      <c r="I70">
        <f t="shared" si="3"/>
        <v>-0.005586037928</v>
      </c>
      <c r="J70" s="45">
        <v>99.0</v>
      </c>
      <c r="K70" t="str">
        <f>IFERROR(__xludf.DUMMYFUNCTION("""COMPUTED_VALUE"""),"2017-02")</f>
        <v>2017-02</v>
      </c>
      <c r="L70">
        <f>IFERROR(__xludf.DUMMYFUNCTION("""COMPUTED_VALUE"""),468.0)</f>
        <v>468</v>
      </c>
    </row>
    <row r="71">
      <c r="C71" s="59">
        <f t="shared" si="1"/>
        <v>-0.02878877418</v>
      </c>
      <c r="E71" s="47">
        <v>41624.0</v>
      </c>
      <c r="F71" t="str">
        <f t="shared" si="2"/>
        <v>2013-12</v>
      </c>
      <c r="G71" t="str">
        <f>IFERROR(__xludf.DUMMYFUNCTION("""COMPUTED_VALUE"""),"2017-03")</f>
        <v>2017-03</v>
      </c>
      <c r="H71" s="52">
        <f>IFERROR(__xludf.DUMMYFUNCTION("""COMPUTED_VALUE"""),4.0)</f>
        <v>4</v>
      </c>
      <c r="I71">
        <f t="shared" si="3"/>
        <v>0.001695470596</v>
      </c>
      <c r="J71" s="45">
        <v>141.0</v>
      </c>
      <c r="K71" t="str">
        <f>IFERROR(__xludf.DUMMYFUNCTION("""COMPUTED_VALUE"""),"2017-03")</f>
        <v>2017-03</v>
      </c>
      <c r="L71">
        <f>IFERROR(__xludf.DUMMYFUNCTION("""COMPUTED_VALUE"""),617.0)</f>
        <v>617</v>
      </c>
    </row>
    <row r="72">
      <c r="C72" s="59">
        <f t="shared" si="1"/>
        <v>-0.004614612067</v>
      </c>
      <c r="E72" s="47">
        <v>41644.0</v>
      </c>
      <c r="F72" t="str">
        <f t="shared" si="2"/>
        <v>2014-01</v>
      </c>
      <c r="G72" t="str">
        <f>IFERROR(__xludf.DUMMYFUNCTION("""COMPUTED_VALUE"""),"2017-04")</f>
        <v>2017-04</v>
      </c>
      <c r="H72" s="52">
        <f>IFERROR(__xludf.DUMMYFUNCTION("""COMPUTED_VALUE"""),3.0)</f>
        <v>3</v>
      </c>
      <c r="I72">
        <f t="shared" si="3"/>
        <v>0.04048806214</v>
      </c>
      <c r="J72" s="45">
        <v>117.0</v>
      </c>
      <c r="K72" t="str">
        <f>IFERROR(__xludf.DUMMYFUNCTION("""COMPUTED_VALUE"""),"2017-04")</f>
        <v>2017-04</v>
      </c>
      <c r="L72">
        <f>IFERROR(__xludf.DUMMYFUNCTION("""COMPUTED_VALUE"""),464.0)</f>
        <v>464</v>
      </c>
    </row>
    <row r="73">
      <c r="C73" s="59">
        <f t="shared" si="1"/>
        <v>0.0516512006</v>
      </c>
      <c r="E73" s="47">
        <v>41682.0</v>
      </c>
      <c r="F73" t="str">
        <f t="shared" si="2"/>
        <v>2014-02</v>
      </c>
      <c r="G73" t="str">
        <f>IFERROR(__xludf.DUMMYFUNCTION("""COMPUTED_VALUE"""),"2017-05")</f>
        <v>2017-05</v>
      </c>
      <c r="H73" s="52">
        <f>IFERROR(__xludf.DUMMYFUNCTION("""COMPUTED_VALUE"""),9.0)</f>
        <v>9</v>
      </c>
      <c r="I73">
        <f t="shared" si="3"/>
        <v>-0.03087368601</v>
      </c>
      <c r="J73" s="45">
        <v>140.0</v>
      </c>
      <c r="K73" t="str">
        <f>IFERROR(__xludf.DUMMYFUNCTION("""COMPUTED_VALUE"""),"2017-05")</f>
        <v>2017-05</v>
      </c>
      <c r="L73">
        <f>IFERROR(__xludf.DUMMYFUNCTION("""COMPUTED_VALUE"""),2149.0)</f>
        <v>2149</v>
      </c>
    </row>
    <row r="74">
      <c r="C74" s="59">
        <f t="shared" si="1"/>
        <v>0.01283455283</v>
      </c>
      <c r="E74" s="47">
        <v>41697.0</v>
      </c>
      <c r="F74" t="str">
        <f t="shared" si="2"/>
        <v>2014-02</v>
      </c>
      <c r="G74" t="str">
        <f>IFERROR(__xludf.DUMMYFUNCTION("""COMPUTED_VALUE"""),"2017-06")</f>
        <v>2017-06</v>
      </c>
      <c r="H74" s="52">
        <f>IFERROR(__xludf.DUMMYFUNCTION("""COMPUTED_VALUE"""),4.0)</f>
        <v>4</v>
      </c>
      <c r="I74">
        <f t="shared" si="3"/>
        <v>0.01371016168</v>
      </c>
      <c r="J74" s="45">
        <v>32.0</v>
      </c>
      <c r="K74" t="str">
        <f>IFERROR(__xludf.DUMMYFUNCTION("""COMPUTED_VALUE"""),"2017-06")</f>
        <v>2017-06</v>
      </c>
      <c r="L74">
        <f>IFERROR(__xludf.DUMMYFUNCTION("""COMPUTED_VALUE"""),188.0)</f>
        <v>188</v>
      </c>
    </row>
    <row r="75">
      <c r="C75" s="59">
        <f t="shared" si="1"/>
        <v>0.0113323214</v>
      </c>
      <c r="E75" s="47">
        <v>41732.0</v>
      </c>
      <c r="F75" t="str">
        <f t="shared" si="2"/>
        <v>2014-04</v>
      </c>
      <c r="G75" t="str">
        <f>IFERROR(__xludf.DUMMYFUNCTION("""COMPUTED_VALUE"""),"2017-07")</f>
        <v>2017-07</v>
      </c>
      <c r="H75" s="52">
        <f>IFERROR(__xludf.DUMMYFUNCTION("""COMPUTED_VALUE"""),12.0)</f>
        <v>12</v>
      </c>
      <c r="I75">
        <f t="shared" si="3"/>
        <v>-0.04945713858</v>
      </c>
      <c r="J75" s="45">
        <v>148.0</v>
      </c>
      <c r="K75" t="str">
        <f>IFERROR(__xludf.DUMMYFUNCTION("""COMPUTED_VALUE"""),"2017-07")</f>
        <v>2017-07</v>
      </c>
      <c r="L75">
        <f>IFERROR(__xludf.DUMMYFUNCTION("""COMPUTED_VALUE"""),931.0)</f>
        <v>931</v>
      </c>
    </row>
    <row r="76">
      <c r="C76" s="59">
        <f t="shared" si="1"/>
        <v>0.02130768673</v>
      </c>
      <c r="E76" s="47">
        <v>41756.0</v>
      </c>
      <c r="F76" t="str">
        <f t="shared" si="2"/>
        <v>2014-04</v>
      </c>
      <c r="G76" t="str">
        <f>IFERROR(__xludf.DUMMYFUNCTION("""COMPUTED_VALUE"""),"2017-08")</f>
        <v>2017-08</v>
      </c>
      <c r="H76" s="52">
        <f>IFERROR(__xludf.DUMMYFUNCTION("""COMPUTED_VALUE"""),8.0)</f>
        <v>8</v>
      </c>
      <c r="I76">
        <f t="shared" si="3"/>
        <v>0.009907046335</v>
      </c>
      <c r="J76" s="45">
        <v>87.0</v>
      </c>
      <c r="K76" t="str">
        <f>IFERROR(__xludf.DUMMYFUNCTION("""COMPUTED_VALUE"""),"2017-08")</f>
        <v>2017-08</v>
      </c>
      <c r="L76">
        <f>IFERROR(__xludf.DUMMYFUNCTION("""COMPUTED_VALUE"""),597.0)</f>
        <v>597</v>
      </c>
    </row>
    <row r="77">
      <c r="C77" s="59">
        <f t="shared" si="1"/>
        <v>0.002365195097</v>
      </c>
      <c r="E77" s="47">
        <v>41781.0</v>
      </c>
      <c r="F77" t="str">
        <f t="shared" si="2"/>
        <v>2014-05</v>
      </c>
      <c r="G77" t="str">
        <f>IFERROR(__xludf.DUMMYFUNCTION("""COMPUTED_VALUE"""),"2017-09")</f>
        <v>2017-09</v>
      </c>
      <c r="H77" s="52">
        <f>IFERROR(__xludf.DUMMYFUNCTION("""COMPUTED_VALUE"""),1.0)</f>
        <v>1</v>
      </c>
      <c r="I77">
        <f t="shared" si="3"/>
        <v>-0.04382569704</v>
      </c>
      <c r="J77" s="45">
        <v>96.0</v>
      </c>
      <c r="K77" t="str">
        <f>IFERROR(__xludf.DUMMYFUNCTION("""COMPUTED_VALUE"""),"2017-09")</f>
        <v>2017-09</v>
      </c>
      <c r="L77">
        <f>IFERROR(__xludf.DUMMYFUNCTION("""COMPUTED_VALUE"""),82.0)</f>
        <v>82</v>
      </c>
    </row>
    <row r="78">
      <c r="C78" s="59">
        <f t="shared" si="1"/>
        <v>-0.03662101456</v>
      </c>
      <c r="E78" s="47">
        <v>41781.0</v>
      </c>
      <c r="F78" t="str">
        <f t="shared" si="2"/>
        <v>2014-05</v>
      </c>
      <c r="G78" t="str">
        <f>IFERROR(__xludf.DUMMYFUNCTION("""COMPUTED_VALUE"""),"2017-10")</f>
        <v>2017-10</v>
      </c>
      <c r="H78" s="52">
        <f>IFERROR(__xludf.DUMMYFUNCTION("""COMPUTED_VALUE"""),7.0)</f>
        <v>7</v>
      </c>
      <c r="I78">
        <f t="shared" si="3"/>
        <v>-0.1187127129</v>
      </c>
      <c r="J78" s="45">
        <v>4.0</v>
      </c>
      <c r="K78" t="str">
        <f>IFERROR(__xludf.DUMMYFUNCTION("""COMPUTED_VALUE"""),"2017-10")</f>
        <v>2017-10</v>
      </c>
      <c r="L78">
        <f>IFERROR(__xludf.DUMMYFUNCTION("""COMPUTED_VALUE"""),708.0)</f>
        <v>708</v>
      </c>
    </row>
    <row r="79">
      <c r="C79" s="59">
        <f t="shared" si="1"/>
        <v>-0.005586037928</v>
      </c>
      <c r="E79" s="47">
        <v>41790.0</v>
      </c>
      <c r="F79" t="str">
        <f t="shared" si="2"/>
        <v>2014-05</v>
      </c>
      <c r="G79" t="str">
        <f>IFERROR(__xludf.DUMMYFUNCTION("""COMPUTED_VALUE"""),"2017-11")</f>
        <v>2017-11</v>
      </c>
      <c r="H79" s="52">
        <f>IFERROR(__xludf.DUMMYFUNCTION("""COMPUTED_VALUE"""),20.0)</f>
        <v>20</v>
      </c>
      <c r="I79">
        <f t="shared" si="3"/>
        <v>0.03635877276</v>
      </c>
      <c r="J79" s="45">
        <v>20.0</v>
      </c>
      <c r="K79" t="str">
        <f>IFERROR(__xludf.DUMMYFUNCTION("""COMPUTED_VALUE"""),"2017-11")</f>
        <v>2017-11</v>
      </c>
      <c r="L79">
        <f>IFERROR(__xludf.DUMMYFUNCTION("""COMPUTED_VALUE"""),1325.0)</f>
        <v>1325</v>
      </c>
    </row>
    <row r="80">
      <c r="C80" s="59">
        <f t="shared" si="1"/>
        <v>0.001695470596</v>
      </c>
      <c r="E80" s="47">
        <v>41827.0</v>
      </c>
      <c r="F80" t="str">
        <f t="shared" si="2"/>
        <v>2014-07</v>
      </c>
      <c r="G80" t="str">
        <f>IFERROR(__xludf.DUMMYFUNCTION("""COMPUTED_VALUE"""),"2017-12")</f>
        <v>2017-12</v>
      </c>
      <c r="H80" s="52">
        <f>IFERROR(__xludf.DUMMYFUNCTION("""COMPUTED_VALUE"""),7.0)</f>
        <v>7</v>
      </c>
      <c r="I80">
        <f t="shared" si="3"/>
        <v>0.01866082462</v>
      </c>
      <c r="J80" s="45">
        <v>90.0</v>
      </c>
      <c r="K80" t="str">
        <f>IFERROR(__xludf.DUMMYFUNCTION("""COMPUTED_VALUE"""),"2017-12")</f>
        <v>2017-12</v>
      </c>
      <c r="L80">
        <f>IFERROR(__xludf.DUMMYFUNCTION("""COMPUTED_VALUE"""),609.0)</f>
        <v>609</v>
      </c>
    </row>
    <row r="81">
      <c r="C81" s="59">
        <f t="shared" si="1"/>
        <v>0.04048806214</v>
      </c>
      <c r="E81" s="47">
        <v>41835.0</v>
      </c>
      <c r="F81" t="str">
        <f t="shared" si="2"/>
        <v>2014-07</v>
      </c>
      <c r="G81" t="str">
        <f>IFERROR(__xludf.DUMMYFUNCTION("""COMPUTED_VALUE"""),"2018-01")</f>
        <v>2018-01</v>
      </c>
      <c r="H81" s="52">
        <f>IFERROR(__xludf.DUMMYFUNCTION("""COMPUTED_VALUE"""),10.0)</f>
        <v>10</v>
      </c>
      <c r="I81">
        <f t="shared" si="3"/>
        <v>0.03045322591</v>
      </c>
      <c r="J81" s="45">
        <v>26.0</v>
      </c>
      <c r="K81" t="str">
        <f>IFERROR(__xludf.DUMMYFUNCTION("""COMPUTED_VALUE"""),"2018-01")</f>
        <v>2018-01</v>
      </c>
      <c r="L81">
        <f>IFERROR(__xludf.DUMMYFUNCTION("""COMPUTED_VALUE"""),1174.0)</f>
        <v>1174</v>
      </c>
    </row>
    <row r="82">
      <c r="C82" s="59">
        <f t="shared" si="1"/>
        <v>-0.03087368601</v>
      </c>
      <c r="E82" s="47">
        <v>41885.0</v>
      </c>
      <c r="F82" t="str">
        <f t="shared" si="2"/>
        <v>2014-09</v>
      </c>
      <c r="G82" t="str">
        <f>IFERROR(__xludf.DUMMYFUNCTION("""COMPUTED_VALUE"""),"2018-02")</f>
        <v>2018-02</v>
      </c>
      <c r="H82" s="52">
        <f>IFERROR(__xludf.DUMMYFUNCTION("""COMPUTED_VALUE"""),1.0)</f>
        <v>1</v>
      </c>
      <c r="I82">
        <f t="shared" si="3"/>
        <v>0.04704464942</v>
      </c>
      <c r="J82" s="45">
        <v>197.0</v>
      </c>
      <c r="K82" t="str">
        <f>IFERROR(__xludf.DUMMYFUNCTION("""COMPUTED_VALUE"""),"2018-02")</f>
        <v>2018-02</v>
      </c>
      <c r="L82">
        <f>IFERROR(__xludf.DUMMYFUNCTION("""COMPUTED_VALUE"""),103.0)</f>
        <v>103</v>
      </c>
    </row>
    <row r="83">
      <c r="C83" s="59">
        <f t="shared" si="1"/>
        <v>0.01371016168</v>
      </c>
      <c r="E83" s="47">
        <v>41910.0</v>
      </c>
      <c r="F83" t="str">
        <f t="shared" si="2"/>
        <v>2014-09</v>
      </c>
      <c r="G83" t="str">
        <f>IFERROR(__xludf.DUMMYFUNCTION("""COMPUTED_VALUE"""),"2018-03")</f>
        <v>2018-03</v>
      </c>
      <c r="H83" s="52">
        <f>IFERROR(__xludf.DUMMYFUNCTION("""COMPUTED_VALUE"""),7.0)</f>
        <v>7</v>
      </c>
      <c r="I83">
        <f t="shared" si="3"/>
        <v>0.0177748524</v>
      </c>
      <c r="J83" s="45">
        <v>114.0</v>
      </c>
      <c r="K83" t="str">
        <f>IFERROR(__xludf.DUMMYFUNCTION("""COMPUTED_VALUE"""),"2018-03")</f>
        <v>2018-03</v>
      </c>
      <c r="L83">
        <f>IFERROR(__xludf.DUMMYFUNCTION("""COMPUTED_VALUE"""),610.0)</f>
        <v>610</v>
      </c>
    </row>
    <row r="84">
      <c r="C84" s="59">
        <f t="shared" si="1"/>
        <v>-0.04945713858</v>
      </c>
      <c r="E84" s="47">
        <v>41936.0</v>
      </c>
      <c r="F84" t="str">
        <f t="shared" si="2"/>
        <v>2014-10</v>
      </c>
      <c r="G84" t="str">
        <f>IFERROR(__xludf.DUMMYFUNCTION("""COMPUTED_VALUE"""),"2018-04")</f>
        <v>2018-04</v>
      </c>
      <c r="H84" s="52">
        <f>IFERROR(__xludf.DUMMYFUNCTION("""COMPUTED_VALUE"""),12.0)</f>
        <v>12</v>
      </c>
      <c r="I84">
        <f t="shared" si="3"/>
        <v>0.02530665671</v>
      </c>
      <c r="J84" s="45">
        <v>55.0</v>
      </c>
      <c r="K84" t="str">
        <f>IFERROR(__xludf.DUMMYFUNCTION("""COMPUTED_VALUE"""),"2018-04")</f>
        <v>2018-04</v>
      </c>
      <c r="L84">
        <f>IFERROR(__xludf.DUMMYFUNCTION("""COMPUTED_VALUE"""),817.0)</f>
        <v>817</v>
      </c>
    </row>
    <row r="85">
      <c r="C85" s="59">
        <f t="shared" si="1"/>
        <v>0.009907046335</v>
      </c>
      <c r="E85" s="47">
        <v>41963.0</v>
      </c>
      <c r="F85" t="str">
        <f t="shared" si="2"/>
        <v>2014-11</v>
      </c>
      <c r="G85" t="str">
        <f>IFERROR(__xludf.DUMMYFUNCTION("""COMPUTED_VALUE"""),"2018-05")</f>
        <v>2018-05</v>
      </c>
      <c r="H85" s="52">
        <f>IFERROR(__xludf.DUMMYFUNCTION("""COMPUTED_VALUE"""),1.0)</f>
        <v>1</v>
      </c>
      <c r="I85">
        <f t="shared" si="3"/>
        <v>0.02530665671</v>
      </c>
      <c r="J85" s="45">
        <v>70.0</v>
      </c>
      <c r="K85" t="str">
        <f>IFERROR(__xludf.DUMMYFUNCTION("""COMPUTED_VALUE"""),"2018-05")</f>
        <v>2018-05</v>
      </c>
      <c r="L85">
        <f>IFERROR(__xludf.DUMMYFUNCTION("""COMPUTED_VALUE"""),843.0)</f>
        <v>843</v>
      </c>
    </row>
    <row r="86">
      <c r="C86" s="59">
        <f t="shared" si="1"/>
        <v>-0.04382569704</v>
      </c>
      <c r="E86" s="47">
        <v>41976.0</v>
      </c>
      <c r="F86" t="str">
        <f t="shared" si="2"/>
        <v>2014-12</v>
      </c>
      <c r="H86" s="52"/>
      <c r="J86" s="45">
        <v>38.0</v>
      </c>
    </row>
    <row r="87">
      <c r="C87" s="59">
        <f t="shared" si="1"/>
        <v>-0.1187127129</v>
      </c>
      <c r="E87" s="47">
        <v>42011.0</v>
      </c>
      <c r="F87" t="str">
        <f t="shared" si="2"/>
        <v>2015-01</v>
      </c>
      <c r="H87" s="52"/>
      <c r="J87" s="45">
        <v>178.0</v>
      </c>
    </row>
    <row r="88">
      <c r="C88" s="59">
        <f t="shared" si="1"/>
        <v>0.03635877276</v>
      </c>
      <c r="E88" s="47">
        <v>42034.0</v>
      </c>
      <c r="F88" t="str">
        <f t="shared" si="2"/>
        <v>2015-01</v>
      </c>
      <c r="H88" s="52"/>
      <c r="J88" s="45">
        <v>67.0</v>
      </c>
    </row>
    <row r="89">
      <c r="C89" s="59">
        <f t="shared" si="1"/>
        <v>0.01866082462</v>
      </c>
      <c r="E89" s="47">
        <v>42080.0</v>
      </c>
      <c r="F89" t="str">
        <f t="shared" si="2"/>
        <v>2015-03</v>
      </c>
      <c r="H89" s="52"/>
      <c r="J89" s="45">
        <v>161.0</v>
      </c>
    </row>
    <row r="90">
      <c r="C90" s="59">
        <f t="shared" si="1"/>
        <v>0.03045322591</v>
      </c>
      <c r="E90" s="47">
        <v>42095.0</v>
      </c>
      <c r="F90" t="str">
        <f t="shared" si="2"/>
        <v>2015-04</v>
      </c>
      <c r="H90" s="52"/>
      <c r="J90" s="45">
        <v>72.0</v>
      </c>
    </row>
    <row r="91">
      <c r="C91" s="59">
        <f t="shared" si="1"/>
        <v>0.04704464942</v>
      </c>
      <c r="E91" s="47">
        <v>42134.0</v>
      </c>
      <c r="F91" t="str">
        <f t="shared" si="2"/>
        <v>2015-05</v>
      </c>
      <c r="H91" s="52"/>
      <c r="J91" s="45">
        <v>21.0</v>
      </c>
    </row>
    <row r="92">
      <c r="C92" s="59">
        <f t="shared" si="1"/>
        <v>0.0177748524</v>
      </c>
      <c r="E92" s="47">
        <v>42150.0</v>
      </c>
      <c r="F92" t="str">
        <f t="shared" si="2"/>
        <v>2015-05</v>
      </c>
      <c r="H92" s="52"/>
      <c r="J92" s="45">
        <v>68.0</v>
      </c>
    </row>
    <row r="93">
      <c r="C93" s="59">
        <f t="shared" si="1"/>
        <v>0.02530665671</v>
      </c>
      <c r="E93" s="47">
        <v>42153.0</v>
      </c>
      <c r="F93" t="str">
        <f t="shared" si="2"/>
        <v>2015-05</v>
      </c>
      <c r="H93" s="52"/>
      <c r="J93" s="45">
        <v>15.0</v>
      </c>
    </row>
    <row r="94">
      <c r="C94" s="59"/>
      <c r="E94" s="47">
        <v>42198.0</v>
      </c>
      <c r="F94" t="str">
        <f t="shared" si="2"/>
        <v>2015-07</v>
      </c>
      <c r="H94" s="52"/>
      <c r="J94" s="45">
        <v>107.0</v>
      </c>
    </row>
    <row r="95">
      <c r="B95" s="50"/>
      <c r="C95" s="59"/>
      <c r="E95" s="47">
        <v>42248.0</v>
      </c>
      <c r="F95" t="str">
        <f t="shared" si="2"/>
        <v>2015-09</v>
      </c>
      <c r="H95" s="52"/>
      <c r="J95" s="45">
        <v>111.0</v>
      </c>
    </row>
    <row r="96">
      <c r="B96" s="50"/>
      <c r="C96" s="59"/>
      <c r="E96" s="47">
        <v>42272.0</v>
      </c>
      <c r="F96" t="str">
        <f t="shared" si="2"/>
        <v>2015-09</v>
      </c>
      <c r="H96" s="52"/>
      <c r="J96" s="45">
        <v>80.0</v>
      </c>
    </row>
    <row r="97">
      <c r="B97" s="50"/>
      <c r="C97" s="59"/>
      <c r="E97" s="47">
        <v>42304.0</v>
      </c>
      <c r="F97" t="str">
        <f t="shared" si="2"/>
        <v>2015-10</v>
      </c>
      <c r="H97" s="52"/>
      <c r="I97" t="str">
        <f t="shared" ref="I97:I100" si="4">C97</f>
        <v/>
      </c>
      <c r="J97" s="45">
        <v>181.0</v>
      </c>
    </row>
    <row r="98">
      <c r="B98" s="50"/>
      <c r="C98" s="59"/>
      <c r="E98" s="47">
        <v>42331.0</v>
      </c>
      <c r="F98" t="str">
        <f t="shared" si="2"/>
        <v>2015-11</v>
      </c>
      <c r="H98" s="52"/>
      <c r="I98" t="str">
        <f t="shared" si="4"/>
        <v/>
      </c>
      <c r="J98" s="45">
        <v>78.0</v>
      </c>
    </row>
    <row r="99">
      <c r="B99" s="50"/>
      <c r="C99" s="59"/>
      <c r="E99" s="47">
        <v>42364.0</v>
      </c>
      <c r="F99" t="str">
        <f t="shared" si="2"/>
        <v>2015-12</v>
      </c>
      <c r="H99" s="52"/>
      <c r="I99" t="str">
        <f t="shared" si="4"/>
        <v/>
      </c>
      <c r="J99" s="45">
        <v>129.0</v>
      </c>
    </row>
    <row r="100">
      <c r="B100" s="50"/>
      <c r="C100" s="59"/>
      <c r="E100" s="47">
        <v>42383.0</v>
      </c>
      <c r="F100" t="str">
        <f t="shared" si="2"/>
        <v>2016-01</v>
      </c>
      <c r="H100" s="52"/>
      <c r="I100" t="str">
        <f t="shared" si="4"/>
        <v/>
      </c>
      <c r="J100" s="45">
        <v>71.0</v>
      </c>
    </row>
    <row r="101">
      <c r="B101" s="50"/>
      <c r="C101" s="59"/>
      <c r="E101" s="47">
        <v>42428.0</v>
      </c>
      <c r="F101" t="str">
        <f t="shared" si="2"/>
        <v>2016-02</v>
      </c>
      <c r="H101" s="52"/>
      <c r="J101" s="45">
        <v>196.0</v>
      </c>
    </row>
    <row r="102">
      <c r="B102" s="50"/>
      <c r="C102" s="59"/>
      <c r="E102" s="47">
        <v>42442.0</v>
      </c>
      <c r="F102" t="str">
        <f t="shared" si="2"/>
        <v>2016-03</v>
      </c>
      <c r="H102" s="52"/>
      <c r="J102" s="45">
        <v>96.0</v>
      </c>
    </row>
    <row r="103">
      <c r="B103" s="50"/>
      <c r="C103" s="59"/>
      <c r="E103" s="47">
        <v>42489.0</v>
      </c>
      <c r="F103" t="str">
        <f t="shared" si="2"/>
        <v>2016-04</v>
      </c>
      <c r="H103" s="52"/>
      <c r="J103" s="45">
        <v>121.0</v>
      </c>
    </row>
    <row r="104">
      <c r="B104" s="50"/>
      <c r="C104" s="59"/>
      <c r="E104" s="47">
        <v>42499.0</v>
      </c>
      <c r="F104" t="str">
        <f t="shared" si="2"/>
        <v>2016-05</v>
      </c>
      <c r="H104" s="52"/>
      <c r="J104" s="45">
        <v>16.0</v>
      </c>
    </row>
    <row r="105">
      <c r="B105" s="50"/>
      <c r="C105" s="59"/>
      <c r="E105" s="47">
        <v>42520.0</v>
      </c>
      <c r="F105" t="str">
        <f t="shared" si="2"/>
        <v>2016-05</v>
      </c>
      <c r="H105" s="52"/>
      <c r="J105" s="45">
        <v>49.0</v>
      </c>
    </row>
    <row r="106">
      <c r="B106" s="50"/>
      <c r="C106" s="59"/>
      <c r="E106" s="47">
        <v>41554.0</v>
      </c>
      <c r="F106" t="str">
        <f t="shared" si="2"/>
        <v>2013-10</v>
      </c>
      <c r="H106" s="52"/>
      <c r="J106" s="45">
        <v>470.0</v>
      </c>
    </row>
    <row r="107">
      <c r="B107" s="50"/>
      <c r="C107" s="59"/>
      <c r="E107" s="47">
        <v>41577.0</v>
      </c>
      <c r="F107" t="str">
        <f t="shared" si="2"/>
        <v>2013-10</v>
      </c>
      <c r="H107" s="52"/>
      <c r="J107" s="45">
        <v>146.0</v>
      </c>
    </row>
    <row r="108">
      <c r="B108" s="50"/>
      <c r="C108" s="59"/>
      <c r="E108" s="47">
        <v>41603.0</v>
      </c>
      <c r="F108" t="str">
        <f t="shared" si="2"/>
        <v>2013-11</v>
      </c>
      <c r="H108" s="52"/>
      <c r="J108" s="45">
        <v>171.0</v>
      </c>
    </row>
    <row r="109">
      <c r="B109" s="50"/>
      <c r="C109" s="59"/>
      <c r="E109" s="47">
        <v>41611.0</v>
      </c>
      <c r="F109" t="str">
        <f t="shared" si="2"/>
        <v>2013-12</v>
      </c>
      <c r="H109" s="52"/>
      <c r="J109" s="45">
        <v>76.0</v>
      </c>
    </row>
    <row r="110">
      <c r="B110" s="50"/>
      <c r="C110" s="59"/>
      <c r="E110" s="47">
        <v>41644.0</v>
      </c>
      <c r="F110" t="str">
        <f t="shared" si="2"/>
        <v>2014-01</v>
      </c>
      <c r="H110" s="52"/>
      <c r="J110" s="45">
        <v>220.0</v>
      </c>
    </row>
    <row r="111">
      <c r="B111" s="50"/>
      <c r="C111" s="59"/>
      <c r="E111" s="47">
        <v>41682.0</v>
      </c>
      <c r="F111" t="str">
        <f t="shared" si="2"/>
        <v>2014-02</v>
      </c>
      <c r="H111" s="52"/>
      <c r="J111" s="45">
        <v>164.0</v>
      </c>
    </row>
    <row r="112">
      <c r="B112" s="50"/>
      <c r="C112" s="59"/>
      <c r="E112" s="47">
        <v>41733.0</v>
      </c>
      <c r="F112" t="str">
        <f t="shared" si="2"/>
        <v>2014-04</v>
      </c>
      <c r="H112" s="52"/>
      <c r="J112" s="45">
        <v>564.0</v>
      </c>
    </row>
    <row r="113">
      <c r="B113" s="50"/>
      <c r="C113" s="59"/>
      <c r="E113" s="47">
        <v>41756.0</v>
      </c>
      <c r="F113" t="str">
        <f t="shared" si="2"/>
        <v>2014-04</v>
      </c>
      <c r="H113" s="52"/>
      <c r="J113" s="45">
        <v>145.0</v>
      </c>
    </row>
    <row r="114">
      <c r="B114" s="50"/>
      <c r="C114" s="59"/>
      <c r="E114" s="47">
        <v>41781.0</v>
      </c>
      <c r="F114" t="str">
        <f t="shared" si="2"/>
        <v>2014-05</v>
      </c>
      <c r="H114" s="52"/>
      <c r="J114" s="45">
        <v>134.0</v>
      </c>
    </row>
    <row r="115">
      <c r="B115" s="50"/>
      <c r="C115" s="59"/>
      <c r="E115" s="47">
        <v>41790.0</v>
      </c>
      <c r="F115" t="str">
        <f t="shared" si="2"/>
        <v>2014-05</v>
      </c>
      <c r="H115" s="52"/>
      <c r="J115" s="45">
        <v>25.0</v>
      </c>
    </row>
    <row r="116">
      <c r="B116" s="50"/>
      <c r="C116" s="59"/>
      <c r="E116" s="47">
        <v>41828.0</v>
      </c>
      <c r="F116" t="str">
        <f t="shared" si="2"/>
        <v>2014-07</v>
      </c>
      <c r="H116" s="52"/>
      <c r="J116" s="45">
        <v>121.0</v>
      </c>
    </row>
    <row r="117">
      <c r="B117" s="50"/>
      <c r="C117" s="59"/>
      <c r="E117" s="47">
        <v>41835.0</v>
      </c>
      <c r="F117" t="str">
        <f t="shared" si="2"/>
        <v>2014-07</v>
      </c>
      <c r="H117" s="52"/>
      <c r="J117" s="45">
        <v>33.0</v>
      </c>
    </row>
    <row r="118">
      <c r="B118" s="50"/>
      <c r="C118" s="59"/>
      <c r="E118" s="47">
        <v>41885.0</v>
      </c>
      <c r="F118" t="str">
        <f t="shared" si="2"/>
        <v>2014-09</v>
      </c>
      <c r="H118" s="52"/>
      <c r="J118" s="45">
        <v>233.0</v>
      </c>
    </row>
    <row r="119">
      <c r="B119" s="50"/>
      <c r="C119" s="59"/>
      <c r="E119" s="47">
        <v>41910.0</v>
      </c>
      <c r="F119" t="str">
        <f t="shared" si="2"/>
        <v>2014-09</v>
      </c>
      <c r="H119" s="52"/>
      <c r="J119" s="45">
        <v>139.0</v>
      </c>
    </row>
    <row r="120">
      <c r="B120" s="50"/>
      <c r="C120" s="59"/>
      <c r="E120" s="47">
        <v>41740.0</v>
      </c>
      <c r="F120" t="str">
        <f t="shared" si="2"/>
        <v>2014-04</v>
      </c>
      <c r="H120" s="52"/>
      <c r="J120" s="45">
        <v>178.0</v>
      </c>
    </row>
    <row r="121">
      <c r="B121" s="50"/>
      <c r="C121" s="59"/>
      <c r="E121" s="47">
        <v>41758.0</v>
      </c>
      <c r="F121" t="str">
        <f t="shared" si="2"/>
        <v>2014-04</v>
      </c>
      <c r="H121" s="52"/>
      <c r="J121" s="45">
        <v>36.0</v>
      </c>
    </row>
    <row r="122">
      <c r="B122" s="50"/>
      <c r="C122" s="59"/>
      <c r="E122" s="47">
        <v>41787.0</v>
      </c>
      <c r="F122" t="str">
        <f t="shared" si="2"/>
        <v>2014-05</v>
      </c>
      <c r="H122" s="52"/>
      <c r="J122" s="45">
        <v>203.0</v>
      </c>
    </row>
    <row r="123">
      <c r="B123" s="50"/>
      <c r="C123" s="59"/>
      <c r="E123" s="47">
        <v>41790.0</v>
      </c>
      <c r="F123" t="str">
        <f t="shared" si="2"/>
        <v>2014-05</v>
      </c>
      <c r="H123" s="52"/>
      <c r="J123" s="45">
        <v>10.0</v>
      </c>
    </row>
    <row r="124">
      <c r="B124" s="50"/>
      <c r="C124" s="59"/>
      <c r="E124" s="47">
        <v>41828.0</v>
      </c>
      <c r="F124" t="str">
        <f t="shared" si="2"/>
        <v>2014-07</v>
      </c>
      <c r="H124" s="52"/>
      <c r="J124" s="45">
        <v>173.0</v>
      </c>
    </row>
    <row r="125">
      <c r="B125" s="50"/>
      <c r="C125" s="59"/>
      <c r="E125" s="47">
        <v>41835.0</v>
      </c>
      <c r="F125" t="str">
        <f t="shared" si="2"/>
        <v>2014-07</v>
      </c>
      <c r="H125" s="52"/>
      <c r="J125" s="45">
        <v>43.0</v>
      </c>
    </row>
    <row r="126">
      <c r="B126" s="50"/>
      <c r="C126" s="59"/>
      <c r="E126" s="47">
        <v>41857.0</v>
      </c>
      <c r="F126" t="str">
        <f t="shared" si="2"/>
        <v>2014-08</v>
      </c>
      <c r="H126" s="52"/>
      <c r="J126" s="45">
        <v>142.0</v>
      </c>
    </row>
    <row r="127">
      <c r="B127" s="50"/>
      <c r="C127" s="59"/>
      <c r="E127" s="47">
        <v>41885.0</v>
      </c>
      <c r="F127" t="str">
        <f t="shared" si="2"/>
        <v>2014-09</v>
      </c>
      <c r="H127" s="52"/>
      <c r="J127" s="45">
        <v>175.0</v>
      </c>
    </row>
    <row r="128">
      <c r="B128" s="50"/>
      <c r="C128" s="59"/>
      <c r="E128" s="47">
        <v>41910.0</v>
      </c>
      <c r="F128" t="str">
        <f t="shared" si="2"/>
        <v>2014-09</v>
      </c>
      <c r="H128" s="52"/>
      <c r="J128" s="45">
        <v>176.0</v>
      </c>
    </row>
    <row r="129">
      <c r="B129" s="50"/>
      <c r="C129" s="59"/>
      <c r="E129" s="47">
        <v>41936.0</v>
      </c>
      <c r="F129" t="str">
        <f t="shared" si="2"/>
        <v>2014-10</v>
      </c>
      <c r="H129" s="52"/>
      <c r="J129" s="45">
        <v>77.0</v>
      </c>
    </row>
    <row r="130">
      <c r="B130" s="50"/>
      <c r="C130" s="59"/>
      <c r="E130" s="47">
        <v>41963.0</v>
      </c>
      <c r="F130" t="str">
        <f t="shared" si="2"/>
        <v>2014-11</v>
      </c>
      <c r="H130" s="52"/>
      <c r="J130" s="45">
        <v>0.0</v>
      </c>
    </row>
    <row r="131">
      <c r="B131" s="50"/>
      <c r="C131" s="59"/>
      <c r="E131" s="47">
        <v>41976.0</v>
      </c>
      <c r="F131" t="str">
        <f t="shared" si="2"/>
        <v>2014-12</v>
      </c>
      <c r="H131" s="52"/>
      <c r="J131" s="45">
        <v>55.0</v>
      </c>
    </row>
    <row r="132">
      <c r="B132" s="50"/>
      <c r="C132" s="59"/>
      <c r="E132" s="47">
        <v>42011.0</v>
      </c>
      <c r="F132" t="str">
        <f t="shared" si="2"/>
        <v>2015-01</v>
      </c>
      <c r="H132" s="52"/>
      <c r="J132" s="45">
        <v>286.0</v>
      </c>
    </row>
    <row r="133">
      <c r="B133" s="50"/>
      <c r="C133" s="59"/>
      <c r="E133" s="47">
        <v>42037.0</v>
      </c>
      <c r="F133" t="str">
        <f t="shared" si="2"/>
        <v>2015-02</v>
      </c>
      <c r="H133" s="52"/>
      <c r="J133" s="45">
        <v>110.0</v>
      </c>
    </row>
    <row r="134">
      <c r="B134" s="50"/>
      <c r="C134" s="59"/>
      <c r="E134" s="47">
        <v>42095.0</v>
      </c>
      <c r="F134" t="str">
        <f t="shared" si="2"/>
        <v>2015-04</v>
      </c>
      <c r="H134" s="52"/>
      <c r="J134" s="45">
        <v>22.0</v>
      </c>
    </row>
    <row r="135">
      <c r="B135" s="50"/>
      <c r="C135" s="59"/>
      <c r="E135" s="47">
        <v>42150.0</v>
      </c>
      <c r="F135" t="str">
        <f t="shared" si="2"/>
        <v>2015-05</v>
      </c>
      <c r="H135" s="52"/>
      <c r="J135" s="45">
        <v>0.0</v>
      </c>
    </row>
    <row r="136">
      <c r="B136" s="50"/>
      <c r="C136" s="59"/>
      <c r="E136" s="47">
        <v>41946.0</v>
      </c>
      <c r="F136" t="str">
        <f t="shared" si="2"/>
        <v>2014-11</v>
      </c>
      <c r="H136" s="52"/>
      <c r="J136" s="45">
        <v>618.0</v>
      </c>
    </row>
    <row r="137">
      <c r="B137" s="50"/>
      <c r="C137" s="59"/>
      <c r="E137" s="47">
        <v>41966.0</v>
      </c>
      <c r="F137" t="str">
        <f t="shared" si="2"/>
        <v>2014-11</v>
      </c>
      <c r="H137" s="52"/>
      <c r="J137" s="45">
        <v>110.0</v>
      </c>
    </row>
    <row r="138">
      <c r="B138" s="50"/>
      <c r="C138" s="59"/>
      <c r="E138" s="47">
        <v>41971.0</v>
      </c>
      <c r="F138" t="str">
        <f t="shared" si="2"/>
        <v>2014-11</v>
      </c>
      <c r="H138" s="52"/>
      <c r="J138" s="45">
        <v>27.0</v>
      </c>
    </row>
    <row r="139">
      <c r="B139" s="50"/>
      <c r="C139" s="59"/>
      <c r="E139" s="47">
        <v>41976.0</v>
      </c>
      <c r="F139" t="str">
        <f t="shared" si="2"/>
        <v>2014-12</v>
      </c>
      <c r="H139" s="52"/>
      <c r="J139" s="45">
        <v>47.0</v>
      </c>
    </row>
    <row r="140">
      <c r="B140" s="50"/>
      <c r="C140" s="59"/>
      <c r="E140" s="47">
        <v>42011.0</v>
      </c>
      <c r="F140" t="str">
        <f t="shared" si="2"/>
        <v>2015-01</v>
      </c>
      <c r="H140" s="52"/>
      <c r="J140" s="45">
        <v>413.0</v>
      </c>
    </row>
    <row r="141">
      <c r="B141" s="50"/>
      <c r="C141" s="59"/>
      <c r="E141" s="47">
        <v>42011.0</v>
      </c>
      <c r="F141" t="str">
        <f t="shared" si="2"/>
        <v>2015-01</v>
      </c>
      <c r="H141" s="52"/>
      <c r="J141" s="45">
        <v>17.0</v>
      </c>
    </row>
    <row r="142">
      <c r="B142" s="50"/>
      <c r="C142" s="59"/>
      <c r="E142" s="47">
        <v>42037.0</v>
      </c>
      <c r="F142" t="str">
        <f t="shared" si="2"/>
        <v>2015-02</v>
      </c>
      <c r="H142" s="52"/>
      <c r="J142" s="45">
        <v>159.0</v>
      </c>
    </row>
    <row r="143">
      <c r="B143" s="50"/>
      <c r="C143" s="59"/>
      <c r="E143" s="47">
        <v>42080.0</v>
      </c>
      <c r="F143" t="str">
        <f t="shared" si="2"/>
        <v>2015-03</v>
      </c>
      <c r="H143" s="52"/>
      <c r="J143" s="45">
        <v>256.0</v>
      </c>
    </row>
    <row r="144">
      <c r="B144" s="50"/>
      <c r="C144" s="59"/>
      <c r="E144" s="47">
        <v>42095.0</v>
      </c>
      <c r="F144" t="str">
        <f t="shared" si="2"/>
        <v>2015-04</v>
      </c>
      <c r="H144" s="52"/>
      <c r="J144" s="45">
        <v>113.0</v>
      </c>
    </row>
    <row r="145">
      <c r="B145" s="50"/>
      <c r="C145" s="59"/>
      <c r="E145" s="47">
        <v>42135.0</v>
      </c>
      <c r="F145" t="str">
        <f t="shared" si="2"/>
        <v>2015-05</v>
      </c>
      <c r="H145" s="52"/>
      <c r="J145" s="45">
        <v>207.0</v>
      </c>
    </row>
    <row r="146">
      <c r="B146" s="50"/>
      <c r="C146" s="59"/>
      <c r="E146" s="47">
        <v>42151.0</v>
      </c>
      <c r="F146" t="str">
        <f t="shared" si="2"/>
        <v>2015-05</v>
      </c>
      <c r="H146" s="52"/>
      <c r="J146" s="45">
        <v>106.0</v>
      </c>
    </row>
    <row r="147">
      <c r="B147" s="50"/>
      <c r="C147" s="59"/>
      <c r="E147" s="47">
        <v>42153.0</v>
      </c>
      <c r="F147" t="str">
        <f t="shared" si="2"/>
        <v>2015-05</v>
      </c>
      <c r="H147" s="52"/>
      <c r="J147" s="45">
        <v>25.0</v>
      </c>
    </row>
    <row r="148">
      <c r="B148" s="50"/>
      <c r="C148" s="59"/>
      <c r="E148" s="47">
        <v>42198.0</v>
      </c>
      <c r="F148" t="str">
        <f t="shared" si="2"/>
        <v>2015-07</v>
      </c>
      <c r="H148" s="52"/>
      <c r="J148" s="45">
        <v>190.0</v>
      </c>
    </row>
    <row r="149">
      <c r="B149" s="50"/>
      <c r="C149" s="59"/>
      <c r="E149" s="47">
        <v>42211.0</v>
      </c>
      <c r="F149" t="str">
        <f t="shared" si="2"/>
        <v>2015-07</v>
      </c>
      <c r="H149" s="52"/>
      <c r="J149" s="45">
        <v>38.0</v>
      </c>
    </row>
    <row r="150">
      <c r="B150" s="50"/>
      <c r="C150" s="59"/>
      <c r="E150" s="47">
        <v>42331.0</v>
      </c>
      <c r="F150" t="str">
        <f t="shared" si="2"/>
        <v>2015-11</v>
      </c>
      <c r="H150" s="52"/>
      <c r="J150" s="45">
        <v>0.0</v>
      </c>
    </row>
    <row r="151">
      <c r="B151" s="50"/>
      <c r="C151" s="59"/>
      <c r="E151" s="47">
        <v>42383.0</v>
      </c>
      <c r="F151" t="str">
        <f t="shared" si="2"/>
        <v>2016-01</v>
      </c>
      <c r="H151" s="52"/>
      <c r="J151" s="45">
        <v>0.0</v>
      </c>
    </row>
    <row r="152">
      <c r="B152" s="50"/>
      <c r="C152" s="59"/>
      <c r="E152" s="47">
        <v>42104.0</v>
      </c>
      <c r="F152" t="str">
        <f t="shared" si="2"/>
        <v>2015-04</v>
      </c>
      <c r="H152" s="52"/>
      <c r="J152" s="45">
        <v>805.0</v>
      </c>
    </row>
    <row r="153">
      <c r="B153" s="50"/>
      <c r="C153" s="59"/>
      <c r="E153" s="47">
        <v>42137.0</v>
      </c>
      <c r="F153" t="str">
        <f t="shared" si="2"/>
        <v>2015-05</v>
      </c>
      <c r="H153" s="52"/>
      <c r="J153" s="45">
        <v>259.0</v>
      </c>
    </row>
    <row r="154">
      <c r="B154" s="50"/>
      <c r="C154" s="59"/>
      <c r="E154" s="47">
        <v>42154.0</v>
      </c>
      <c r="F154" t="str">
        <f t="shared" si="2"/>
        <v>2015-05</v>
      </c>
      <c r="H154" s="52"/>
      <c r="J154" s="45">
        <v>177.0</v>
      </c>
    </row>
    <row r="155">
      <c r="B155" s="50"/>
      <c r="C155" s="59"/>
      <c r="E155" s="47">
        <v>42166.0</v>
      </c>
      <c r="F155" t="str">
        <f t="shared" si="2"/>
        <v>2015-06</v>
      </c>
      <c r="H155" s="52"/>
      <c r="J155" s="45">
        <v>106.0</v>
      </c>
    </row>
    <row r="156">
      <c r="B156" s="50"/>
      <c r="C156" s="59"/>
      <c r="E156" s="47">
        <v>42198.0</v>
      </c>
      <c r="F156" t="str">
        <f t="shared" si="2"/>
        <v>2015-07</v>
      </c>
      <c r="H156" s="52"/>
      <c r="J156" s="45">
        <v>220.0</v>
      </c>
    </row>
    <row r="157">
      <c r="B157" s="50"/>
      <c r="C157" s="59"/>
      <c r="E157" s="47">
        <v>42216.0</v>
      </c>
      <c r="F157" t="str">
        <f t="shared" si="2"/>
        <v>2015-07</v>
      </c>
      <c r="H157" s="52"/>
      <c r="J157" s="45">
        <v>87.0</v>
      </c>
    </row>
    <row r="158">
      <c r="B158" s="50"/>
      <c r="C158" s="59"/>
      <c r="E158" s="47">
        <v>42255.0</v>
      </c>
      <c r="F158" t="str">
        <f t="shared" si="2"/>
        <v>2015-09</v>
      </c>
      <c r="H158" s="52"/>
      <c r="J158" s="45">
        <v>191.0</v>
      </c>
    </row>
    <row r="159">
      <c r="B159" s="50"/>
      <c r="C159" s="59"/>
      <c r="E159" s="47">
        <v>42272.0</v>
      </c>
      <c r="F159" t="str">
        <f t="shared" si="2"/>
        <v>2015-09</v>
      </c>
      <c r="H159" s="52"/>
      <c r="J159" s="45">
        <v>124.0</v>
      </c>
    </row>
    <row r="160">
      <c r="B160" s="50"/>
      <c r="C160" s="59"/>
      <c r="E160" s="47">
        <v>42304.0</v>
      </c>
      <c r="F160" t="str">
        <f t="shared" si="2"/>
        <v>2015-10</v>
      </c>
      <c r="H160" s="52"/>
      <c r="J160" s="45">
        <v>275.0</v>
      </c>
    </row>
    <row r="161">
      <c r="B161" s="50"/>
      <c r="C161" s="59"/>
      <c r="E161" s="47">
        <v>42331.0</v>
      </c>
      <c r="F161" t="str">
        <f t="shared" si="2"/>
        <v>2015-11</v>
      </c>
      <c r="H161" s="52"/>
      <c r="J161" s="45">
        <v>131.0</v>
      </c>
    </row>
    <row r="162">
      <c r="B162" s="50"/>
      <c r="C162" s="59"/>
      <c r="E162" s="47">
        <v>42364.0</v>
      </c>
      <c r="F162" t="str">
        <f t="shared" si="2"/>
        <v>2015-12</v>
      </c>
      <c r="H162" s="52"/>
      <c r="J162" s="45">
        <v>226.0</v>
      </c>
    </row>
    <row r="163">
      <c r="B163" s="50"/>
      <c r="C163" s="59"/>
      <c r="E163" s="47">
        <v>42383.0</v>
      </c>
      <c r="F163" t="str">
        <f t="shared" si="2"/>
        <v>2016-01</v>
      </c>
      <c r="H163" s="52"/>
      <c r="J163" s="45">
        <v>121.0</v>
      </c>
    </row>
    <row r="164">
      <c r="B164" s="50"/>
      <c r="C164" s="59"/>
      <c r="E164" s="47">
        <v>42428.0</v>
      </c>
      <c r="F164" t="str">
        <f t="shared" si="2"/>
        <v>2016-02</v>
      </c>
      <c r="H164" s="52"/>
      <c r="J164" s="45">
        <v>373.0</v>
      </c>
    </row>
    <row r="165">
      <c r="B165" s="50"/>
      <c r="C165" s="59"/>
      <c r="E165" s="47">
        <v>42454.0</v>
      </c>
      <c r="F165" t="str">
        <f t="shared" si="2"/>
        <v>2016-03</v>
      </c>
      <c r="H165" s="52"/>
      <c r="J165" s="45">
        <v>240.0</v>
      </c>
    </row>
    <row r="166">
      <c r="B166" s="50"/>
      <c r="C166" s="59"/>
      <c r="E166" s="47">
        <v>42489.0</v>
      </c>
      <c r="F166" t="str">
        <f t="shared" si="2"/>
        <v>2016-04</v>
      </c>
      <c r="H166" s="52"/>
      <c r="J166" s="45">
        <v>140.0</v>
      </c>
    </row>
    <row r="167">
      <c r="B167" s="50"/>
      <c r="C167" s="59"/>
      <c r="E167" s="47">
        <v>42499.0</v>
      </c>
      <c r="F167" t="str">
        <f t="shared" si="2"/>
        <v>2016-05</v>
      </c>
      <c r="H167" s="52"/>
      <c r="J167" s="45">
        <v>33.0</v>
      </c>
    </row>
    <row r="168">
      <c r="B168" s="50"/>
      <c r="C168" s="59"/>
      <c r="E168" s="47">
        <v>42527.0</v>
      </c>
      <c r="F168" t="str">
        <f t="shared" si="2"/>
        <v>2016-06</v>
      </c>
      <c r="H168" s="52"/>
      <c r="J168" s="45">
        <v>117.0</v>
      </c>
    </row>
    <row r="169">
      <c r="B169" s="50"/>
      <c r="C169" s="59"/>
      <c r="E169" s="47">
        <v>42551.0</v>
      </c>
      <c r="F169" t="str">
        <f t="shared" si="2"/>
        <v>2016-06</v>
      </c>
      <c r="H169" s="52"/>
      <c r="J169" s="45">
        <v>112.0</v>
      </c>
    </row>
    <row r="170">
      <c r="B170" s="50"/>
      <c r="C170" s="59"/>
      <c r="E170" s="47">
        <v>42581.0</v>
      </c>
      <c r="F170" t="str">
        <f t="shared" si="2"/>
        <v>2016-07</v>
      </c>
      <c r="H170" s="52"/>
      <c r="J170" s="45">
        <v>84.0</v>
      </c>
    </row>
    <row r="171">
      <c r="B171" s="50"/>
      <c r="C171" s="59"/>
      <c r="E171" s="47">
        <v>42615.0</v>
      </c>
      <c r="F171" t="str">
        <f t="shared" si="2"/>
        <v>2016-09</v>
      </c>
      <c r="H171" s="52"/>
      <c r="J171" s="45">
        <v>111.0</v>
      </c>
    </row>
    <row r="172">
      <c r="B172" s="50"/>
      <c r="C172" s="59"/>
      <c r="E172" s="47">
        <v>42620.0</v>
      </c>
      <c r="F172" t="str">
        <f t="shared" si="2"/>
        <v>2016-09</v>
      </c>
      <c r="H172" s="52"/>
      <c r="J172" s="45">
        <v>30.0</v>
      </c>
    </row>
    <row r="173">
      <c r="B173" s="50"/>
      <c r="C173" s="59"/>
      <c r="E173" s="47">
        <v>42646.0</v>
      </c>
      <c r="F173" t="str">
        <f t="shared" si="2"/>
        <v>2016-10</v>
      </c>
      <c r="H173" s="52"/>
      <c r="J173" s="45">
        <v>77.0</v>
      </c>
    </row>
    <row r="174">
      <c r="B174" s="50"/>
      <c r="C174" s="59"/>
      <c r="E174" s="47">
        <v>42670.0</v>
      </c>
      <c r="F174" t="str">
        <f t="shared" si="2"/>
        <v>2016-10</v>
      </c>
      <c r="H174" s="52"/>
      <c r="J174" s="45">
        <v>69.0</v>
      </c>
    </row>
    <row r="175">
      <c r="B175" s="50"/>
      <c r="C175" s="59"/>
      <c r="E175" s="47">
        <v>42695.0</v>
      </c>
      <c r="F175" t="str">
        <f t="shared" si="2"/>
        <v>2016-11</v>
      </c>
      <c r="H175" s="52"/>
      <c r="J175" s="45">
        <v>67.0</v>
      </c>
    </row>
    <row r="176">
      <c r="B176" s="50"/>
      <c r="C176" s="59"/>
      <c r="E176" s="47">
        <v>42717.0</v>
      </c>
      <c r="F176" t="str">
        <f t="shared" si="2"/>
        <v>2016-12</v>
      </c>
      <c r="H176" s="52"/>
      <c r="J176" s="45">
        <v>98.0</v>
      </c>
    </row>
    <row r="177">
      <c r="B177" s="50"/>
      <c r="C177" s="59"/>
      <c r="E177" s="47">
        <v>42747.0</v>
      </c>
      <c r="F177" t="str">
        <f t="shared" si="2"/>
        <v>2017-01</v>
      </c>
      <c r="H177" s="52"/>
      <c r="J177" s="45">
        <v>123.0</v>
      </c>
    </row>
    <row r="178">
      <c r="B178" s="50"/>
      <c r="C178" s="59"/>
      <c r="E178" s="47">
        <v>42772.0</v>
      </c>
      <c r="F178" t="str">
        <f t="shared" si="2"/>
        <v>2017-02</v>
      </c>
      <c r="H178" s="52"/>
      <c r="J178" s="45">
        <v>82.0</v>
      </c>
    </row>
    <row r="179">
      <c r="B179" s="50"/>
      <c r="C179" s="59"/>
      <c r="E179" s="47">
        <v>42800.0</v>
      </c>
      <c r="F179" t="str">
        <f t="shared" si="2"/>
        <v>2017-03</v>
      </c>
      <c r="H179" s="52"/>
      <c r="J179" s="45">
        <v>197.0</v>
      </c>
    </row>
    <row r="180">
      <c r="B180" s="50"/>
      <c r="C180" s="59"/>
      <c r="E180" s="47">
        <v>42829.0</v>
      </c>
      <c r="F180" t="str">
        <f t="shared" si="2"/>
        <v>2017-04</v>
      </c>
      <c r="H180" s="52"/>
      <c r="J180" s="45">
        <v>106.0</v>
      </c>
    </row>
    <row r="181">
      <c r="B181" s="50"/>
      <c r="C181" s="59"/>
      <c r="E181" s="47">
        <v>42856.0</v>
      </c>
      <c r="F181" t="str">
        <f t="shared" si="2"/>
        <v>2017-05</v>
      </c>
      <c r="H181" s="52"/>
      <c r="J181" s="45">
        <v>83.0</v>
      </c>
    </row>
    <row r="182">
      <c r="B182" s="50"/>
      <c r="C182" s="59"/>
      <c r="E182" s="47">
        <v>42884.0</v>
      </c>
      <c r="F182" t="str">
        <f t="shared" si="2"/>
        <v>2017-05</v>
      </c>
      <c r="H182" s="52"/>
      <c r="J182" s="45">
        <v>56.0</v>
      </c>
    </row>
    <row r="183">
      <c r="B183" s="50"/>
      <c r="C183" s="59"/>
      <c r="E183" s="47">
        <v>42893.0</v>
      </c>
      <c r="F183" t="str">
        <f t="shared" si="2"/>
        <v>2017-06</v>
      </c>
      <c r="H183" s="52"/>
      <c r="J183" s="45">
        <v>23.0</v>
      </c>
    </row>
    <row r="184">
      <c r="B184" s="50"/>
      <c r="C184" s="59"/>
      <c r="E184" s="47">
        <v>42919.0</v>
      </c>
      <c r="F184" t="str">
        <f t="shared" si="2"/>
        <v>2017-07</v>
      </c>
      <c r="H184" s="52"/>
      <c r="J184" s="45">
        <v>82.0</v>
      </c>
    </row>
    <row r="185">
      <c r="B185" s="50"/>
      <c r="C185" s="59"/>
      <c r="E185" s="47">
        <v>42921.0</v>
      </c>
      <c r="F185" t="str">
        <f t="shared" si="2"/>
        <v>2017-07</v>
      </c>
      <c r="H185" s="52"/>
      <c r="J185" s="45">
        <v>9.0</v>
      </c>
    </row>
    <row r="186">
      <c r="B186" s="50"/>
      <c r="C186" s="59"/>
      <c r="E186" s="47">
        <v>42933.0</v>
      </c>
      <c r="F186" t="str">
        <f t="shared" si="2"/>
        <v>2017-07</v>
      </c>
      <c r="H186" s="52"/>
      <c r="J186" s="45">
        <v>29.0</v>
      </c>
    </row>
    <row r="187">
      <c r="B187" s="50"/>
      <c r="C187" s="59"/>
      <c r="E187" s="47">
        <v>42948.0</v>
      </c>
      <c r="F187" t="str">
        <f t="shared" si="2"/>
        <v>2017-08</v>
      </c>
      <c r="H187" s="52"/>
      <c r="J187" s="45">
        <v>40.0</v>
      </c>
    </row>
    <row r="188">
      <c r="B188" s="50"/>
      <c r="C188" s="59"/>
      <c r="E188" s="47">
        <v>42975.0</v>
      </c>
      <c r="F188" t="str">
        <f t="shared" si="2"/>
        <v>2017-08</v>
      </c>
      <c r="H188" s="52"/>
      <c r="J188" s="45">
        <v>42.0</v>
      </c>
    </row>
    <row r="189">
      <c r="B189" s="50"/>
      <c r="C189" s="59"/>
      <c r="E189" s="47">
        <v>43013.0</v>
      </c>
      <c r="F189" t="str">
        <f t="shared" si="2"/>
        <v>2017-10</v>
      </c>
      <c r="H189" s="52"/>
      <c r="J189" s="45">
        <v>94.0</v>
      </c>
    </row>
    <row r="190">
      <c r="B190" s="50"/>
      <c r="C190" s="59"/>
      <c r="E190" s="47">
        <v>43049.0</v>
      </c>
      <c r="F190" t="str">
        <f t="shared" si="2"/>
        <v>2017-11</v>
      </c>
      <c r="H190" s="52"/>
      <c r="J190" s="45">
        <v>100.0</v>
      </c>
    </row>
    <row r="191">
      <c r="B191" s="50"/>
      <c r="C191" s="59"/>
      <c r="E191" s="47">
        <v>43052.0</v>
      </c>
      <c r="F191" t="str">
        <f t="shared" si="2"/>
        <v>2017-11</v>
      </c>
      <c r="H191" s="52"/>
      <c r="J191" s="45">
        <v>13.0</v>
      </c>
    </row>
    <row r="192">
      <c r="B192" s="50"/>
      <c r="C192" s="59"/>
      <c r="E192" s="47">
        <v>43055.0</v>
      </c>
      <c r="F192" t="str">
        <f t="shared" si="2"/>
        <v>2017-11</v>
      </c>
      <c r="H192" s="52"/>
      <c r="J192" s="45">
        <v>17.0</v>
      </c>
    </row>
    <row r="193">
      <c r="B193" s="50"/>
      <c r="C193" s="59"/>
      <c r="E193" s="47">
        <v>43073.0</v>
      </c>
      <c r="F193" t="str">
        <f t="shared" si="2"/>
        <v>2017-12</v>
      </c>
      <c r="H193" s="52"/>
      <c r="J193" s="45">
        <v>54.0</v>
      </c>
    </row>
    <row r="194">
      <c r="B194" s="50"/>
      <c r="C194" s="59"/>
      <c r="E194" s="47">
        <v>43105.0</v>
      </c>
      <c r="F194" t="str">
        <f t="shared" si="2"/>
        <v>2018-01</v>
      </c>
      <c r="H194" s="52"/>
      <c r="J194" s="45">
        <v>79.0</v>
      </c>
    </row>
    <row r="195">
      <c r="B195" s="50"/>
      <c r="C195" s="59"/>
      <c r="E195" s="47">
        <v>43129.0</v>
      </c>
      <c r="F195" t="str">
        <f t="shared" si="2"/>
        <v>2018-01</v>
      </c>
      <c r="H195" s="52"/>
      <c r="J195" s="45">
        <v>91.0</v>
      </c>
    </row>
    <row r="196">
      <c r="B196" s="50"/>
      <c r="C196" s="59"/>
      <c r="E196" s="47">
        <v>43159.0</v>
      </c>
      <c r="F196" t="str">
        <f t="shared" si="2"/>
        <v>2018-02</v>
      </c>
      <c r="H196" s="52"/>
      <c r="J196" s="45">
        <v>103.0</v>
      </c>
    </row>
    <row r="197">
      <c r="B197" s="50"/>
      <c r="C197" s="59"/>
      <c r="E197" s="47">
        <v>43164.0</v>
      </c>
      <c r="F197" t="str">
        <f t="shared" si="2"/>
        <v>2018-03</v>
      </c>
      <c r="H197" s="52"/>
      <c r="J197" s="45">
        <v>11.0</v>
      </c>
    </row>
    <row r="198">
      <c r="B198" s="50"/>
      <c r="C198" s="59"/>
      <c r="E198" s="47">
        <v>43192.0</v>
      </c>
      <c r="F198" t="str">
        <f t="shared" si="2"/>
        <v>2018-04</v>
      </c>
      <c r="H198" s="52"/>
      <c r="J198" s="45">
        <v>73.0</v>
      </c>
    </row>
    <row r="199">
      <c r="B199" s="50"/>
      <c r="C199" s="59"/>
      <c r="E199" s="47">
        <v>43196.0</v>
      </c>
      <c r="F199" t="str">
        <f t="shared" si="2"/>
        <v>2018-04</v>
      </c>
      <c r="H199" s="52"/>
      <c r="J199" s="45">
        <v>17.0</v>
      </c>
    </row>
    <row r="200">
      <c r="B200" s="50"/>
      <c r="C200" s="59"/>
      <c r="E200" s="47">
        <v>43217.0</v>
      </c>
      <c r="F200" t="str">
        <f t="shared" si="2"/>
        <v>2018-04</v>
      </c>
      <c r="H200" s="52"/>
      <c r="J200" s="45">
        <v>36.0</v>
      </c>
    </row>
    <row r="201">
      <c r="B201" s="50"/>
      <c r="C201" s="59"/>
      <c r="E201" s="47">
        <v>42324.0</v>
      </c>
      <c r="F201" t="str">
        <f t="shared" si="2"/>
        <v>2015-11</v>
      </c>
      <c r="H201" s="52"/>
      <c r="J201" s="45">
        <v>894.0</v>
      </c>
    </row>
    <row r="202">
      <c r="B202" s="50"/>
      <c r="C202" s="59"/>
      <c r="E202" s="47">
        <v>42338.0</v>
      </c>
      <c r="F202" t="str">
        <f t="shared" si="2"/>
        <v>2015-11</v>
      </c>
      <c r="H202" s="52"/>
      <c r="J202" s="45">
        <v>225.0</v>
      </c>
    </row>
    <row r="203">
      <c r="B203" s="50"/>
      <c r="C203" s="59"/>
      <c r="E203" s="47">
        <v>42364.0</v>
      </c>
      <c r="F203" t="str">
        <f t="shared" si="2"/>
        <v>2015-12</v>
      </c>
      <c r="H203" s="52"/>
      <c r="J203" s="45">
        <v>248.0</v>
      </c>
    </row>
    <row r="204">
      <c r="B204" s="50"/>
      <c r="C204" s="59"/>
      <c r="E204" s="47">
        <v>42383.0</v>
      </c>
      <c r="F204" t="str">
        <f t="shared" si="2"/>
        <v>2016-01</v>
      </c>
      <c r="H204" s="52"/>
      <c r="J204" s="45">
        <v>178.0</v>
      </c>
    </row>
    <row r="205">
      <c r="B205" s="50"/>
      <c r="C205" s="59"/>
      <c r="E205" s="47">
        <v>42428.0</v>
      </c>
      <c r="F205" t="str">
        <f t="shared" si="2"/>
        <v>2016-02</v>
      </c>
      <c r="H205" s="52"/>
      <c r="J205" s="45">
        <v>488.0</v>
      </c>
    </row>
    <row r="206">
      <c r="B206" s="50"/>
      <c r="C206" s="59"/>
      <c r="E206" s="47">
        <v>42456.0</v>
      </c>
      <c r="F206" t="str">
        <f t="shared" si="2"/>
        <v>2016-03</v>
      </c>
      <c r="H206" s="52"/>
      <c r="J206" s="45">
        <v>308.0</v>
      </c>
    </row>
    <row r="207">
      <c r="B207" s="50"/>
      <c r="C207" s="59"/>
      <c r="E207" s="47">
        <v>42492.0</v>
      </c>
      <c r="F207" t="str">
        <f t="shared" si="2"/>
        <v>2016-05</v>
      </c>
      <c r="H207" s="52"/>
      <c r="J207" s="45">
        <v>180.0</v>
      </c>
    </row>
    <row r="208">
      <c r="B208" s="50"/>
      <c r="C208" s="59"/>
      <c r="E208" s="47">
        <v>42499.0</v>
      </c>
      <c r="F208" t="str">
        <f t="shared" si="2"/>
        <v>2016-05</v>
      </c>
      <c r="H208" s="52"/>
      <c r="J208" s="45">
        <v>59.0</v>
      </c>
    </row>
    <row r="209">
      <c r="B209" s="50"/>
      <c r="C209" s="59"/>
      <c r="E209" s="47">
        <v>42527.0</v>
      </c>
      <c r="F209" t="str">
        <f t="shared" si="2"/>
        <v>2016-06</v>
      </c>
      <c r="H209" s="52"/>
      <c r="J209" s="45">
        <v>144.0</v>
      </c>
    </row>
    <row r="210">
      <c r="B210" s="50"/>
      <c r="C210" s="59"/>
      <c r="E210" s="47">
        <v>42551.0</v>
      </c>
      <c r="F210" t="str">
        <f t="shared" si="2"/>
        <v>2016-06</v>
      </c>
      <c r="H210" s="52"/>
      <c r="J210" s="45">
        <v>152.0</v>
      </c>
    </row>
    <row r="211">
      <c r="B211" s="50"/>
      <c r="C211" s="59"/>
      <c r="E211" s="47">
        <v>42581.0</v>
      </c>
      <c r="F211" t="str">
        <f t="shared" si="2"/>
        <v>2016-07</v>
      </c>
      <c r="H211" s="52"/>
      <c r="J211" s="45">
        <v>124.0</v>
      </c>
    </row>
    <row r="212">
      <c r="B212" s="50"/>
      <c r="C212" s="59"/>
      <c r="E212" s="47">
        <v>42615.0</v>
      </c>
      <c r="F212" t="str">
        <f t="shared" si="2"/>
        <v>2016-09</v>
      </c>
      <c r="H212" s="52"/>
      <c r="J212" s="45">
        <v>139.0</v>
      </c>
    </row>
    <row r="213">
      <c r="B213" s="50"/>
      <c r="C213" s="59"/>
      <c r="E213" s="47">
        <v>42620.0</v>
      </c>
      <c r="F213" t="str">
        <f t="shared" si="2"/>
        <v>2016-09</v>
      </c>
      <c r="H213" s="52"/>
      <c r="J213" s="45">
        <v>38.0</v>
      </c>
    </row>
    <row r="214">
      <c r="B214" s="50"/>
      <c r="C214" s="59"/>
      <c r="E214" s="47">
        <v>42646.0</v>
      </c>
      <c r="F214" t="str">
        <f t="shared" si="2"/>
        <v>2016-10</v>
      </c>
      <c r="H214" s="52"/>
      <c r="J214" s="45">
        <v>123.0</v>
      </c>
    </row>
    <row r="215">
      <c r="B215" s="50"/>
      <c r="C215" s="59"/>
      <c r="E215" s="47">
        <v>42670.0</v>
      </c>
      <c r="F215" t="str">
        <f t="shared" si="2"/>
        <v>2016-10</v>
      </c>
      <c r="H215" s="52"/>
      <c r="J215" s="45">
        <v>107.0</v>
      </c>
    </row>
    <row r="216">
      <c r="B216" s="50"/>
      <c r="C216" s="59"/>
      <c r="E216" s="47">
        <v>42695.0</v>
      </c>
      <c r="F216" t="str">
        <f t="shared" si="2"/>
        <v>2016-11</v>
      </c>
      <c r="H216" s="52"/>
      <c r="J216" s="45">
        <v>101.0</v>
      </c>
    </row>
    <row r="217">
      <c r="B217" s="50"/>
      <c r="C217" s="59"/>
      <c r="E217" s="47">
        <v>42717.0</v>
      </c>
      <c r="F217" t="str">
        <f t="shared" si="2"/>
        <v>2016-12</v>
      </c>
      <c r="H217" s="52"/>
      <c r="J217" s="45">
        <v>128.0</v>
      </c>
    </row>
    <row r="218">
      <c r="B218" s="50"/>
      <c r="C218" s="59"/>
      <c r="E218" s="47">
        <v>42747.0</v>
      </c>
      <c r="F218" t="str">
        <f t="shared" si="2"/>
        <v>2017-01</v>
      </c>
      <c r="H218" s="52"/>
      <c r="J218" s="45">
        <v>170.0</v>
      </c>
    </row>
    <row r="219">
      <c r="B219" s="50"/>
      <c r="C219" s="59"/>
      <c r="E219" s="47">
        <v>42772.0</v>
      </c>
      <c r="F219" t="str">
        <f t="shared" si="2"/>
        <v>2017-02</v>
      </c>
      <c r="H219" s="52"/>
      <c r="J219" s="45">
        <v>115.0</v>
      </c>
    </row>
    <row r="220">
      <c r="B220" s="50"/>
      <c r="C220" s="59"/>
      <c r="E220" s="47">
        <v>42800.0</v>
      </c>
      <c r="F220" t="str">
        <f t="shared" si="2"/>
        <v>2017-03</v>
      </c>
      <c r="H220" s="52"/>
      <c r="J220" s="45">
        <v>171.0</v>
      </c>
    </row>
    <row r="221">
      <c r="B221" s="50"/>
      <c r="C221" s="59"/>
      <c r="E221" s="47">
        <v>42830.0</v>
      </c>
      <c r="F221" t="str">
        <f t="shared" si="2"/>
        <v>2017-04</v>
      </c>
      <c r="H221" s="52"/>
      <c r="J221" s="45">
        <v>165.0</v>
      </c>
    </row>
    <row r="222">
      <c r="B222" s="50"/>
      <c r="C222" s="59"/>
      <c r="E222" s="47">
        <v>42856.0</v>
      </c>
      <c r="F222" t="str">
        <f t="shared" si="2"/>
        <v>2017-05</v>
      </c>
      <c r="H222" s="52"/>
      <c r="J222" s="45">
        <v>117.0</v>
      </c>
    </row>
    <row r="223">
      <c r="B223" s="50"/>
      <c r="C223" s="59"/>
      <c r="E223" s="47">
        <v>42884.0</v>
      </c>
      <c r="F223" t="str">
        <f t="shared" si="2"/>
        <v>2017-05</v>
      </c>
      <c r="H223" s="52"/>
      <c r="J223" s="45">
        <v>79.0</v>
      </c>
    </row>
    <row r="224">
      <c r="B224" s="50"/>
      <c r="C224" s="59"/>
      <c r="E224" s="47">
        <v>42893.0</v>
      </c>
      <c r="F224" t="str">
        <f t="shared" si="2"/>
        <v>2017-06</v>
      </c>
      <c r="H224" s="52"/>
      <c r="J224" s="45">
        <v>37.0</v>
      </c>
    </row>
    <row r="225">
      <c r="B225" s="50"/>
      <c r="C225" s="59"/>
      <c r="E225" s="47">
        <v>42920.0</v>
      </c>
      <c r="F225" t="str">
        <f t="shared" si="2"/>
        <v>2017-07</v>
      </c>
      <c r="H225" s="52"/>
      <c r="J225" s="45">
        <v>106.0</v>
      </c>
    </row>
    <row r="226">
      <c r="B226" s="50"/>
      <c r="C226" s="59"/>
      <c r="E226" s="47">
        <v>42921.0</v>
      </c>
      <c r="F226" t="str">
        <f t="shared" si="2"/>
        <v>2017-07</v>
      </c>
      <c r="H226" s="52"/>
      <c r="J226" s="45">
        <v>16.0</v>
      </c>
    </row>
    <row r="227">
      <c r="B227" s="50"/>
      <c r="C227" s="59"/>
      <c r="E227" s="47">
        <v>42933.0</v>
      </c>
      <c r="F227" t="str">
        <f t="shared" si="2"/>
        <v>2017-07</v>
      </c>
      <c r="H227" s="52"/>
      <c r="J227" s="45">
        <v>40.0</v>
      </c>
    </row>
    <row r="228">
      <c r="B228" s="50"/>
      <c r="C228" s="59"/>
      <c r="E228" s="47">
        <v>42948.0</v>
      </c>
      <c r="F228" t="str">
        <f t="shared" si="2"/>
        <v>2017-08</v>
      </c>
      <c r="H228" s="52"/>
      <c r="J228" s="45">
        <v>57.0</v>
      </c>
    </row>
    <row r="229">
      <c r="B229" s="50"/>
      <c r="C229" s="59"/>
      <c r="E229" s="47">
        <v>42975.0</v>
      </c>
      <c r="F229" t="str">
        <f t="shared" si="2"/>
        <v>2017-08</v>
      </c>
      <c r="H229" s="52"/>
      <c r="J229" s="45">
        <v>63.0</v>
      </c>
    </row>
    <row r="230">
      <c r="B230" s="50"/>
      <c r="C230" s="59"/>
      <c r="E230" s="47">
        <v>43013.0</v>
      </c>
      <c r="F230" t="str">
        <f t="shared" si="2"/>
        <v>2017-10</v>
      </c>
      <c r="H230" s="52"/>
      <c r="J230" s="45">
        <v>122.0</v>
      </c>
    </row>
    <row r="231">
      <c r="B231" s="50"/>
      <c r="C231" s="59"/>
      <c r="E231" s="47">
        <v>43049.0</v>
      </c>
      <c r="F231" t="str">
        <f t="shared" si="2"/>
        <v>2017-11</v>
      </c>
      <c r="H231" s="52"/>
      <c r="J231" s="45">
        <v>131.0</v>
      </c>
    </row>
    <row r="232">
      <c r="B232" s="50"/>
      <c r="C232" s="59"/>
      <c r="E232" s="47">
        <v>43052.0</v>
      </c>
      <c r="F232" t="str">
        <f t="shared" si="2"/>
        <v>2017-11</v>
      </c>
      <c r="H232" s="52"/>
      <c r="J232" s="45">
        <v>20.0</v>
      </c>
    </row>
    <row r="233">
      <c r="B233" s="50"/>
      <c r="C233" s="59"/>
      <c r="E233" s="47">
        <v>43055.0</v>
      </c>
      <c r="F233" t="str">
        <f t="shared" si="2"/>
        <v>2017-11</v>
      </c>
      <c r="H233" s="52"/>
      <c r="J233" s="45">
        <v>23.0</v>
      </c>
    </row>
    <row r="234">
      <c r="B234" s="50"/>
      <c r="C234" s="59"/>
      <c r="E234" s="47">
        <v>43073.0</v>
      </c>
      <c r="F234" t="str">
        <f t="shared" si="2"/>
        <v>2017-12</v>
      </c>
      <c r="H234" s="52"/>
      <c r="J234" s="45">
        <v>72.0</v>
      </c>
    </row>
    <row r="235">
      <c r="B235" s="50"/>
      <c r="C235" s="59"/>
      <c r="E235" s="47">
        <v>43105.0</v>
      </c>
      <c r="F235" t="str">
        <f t="shared" si="2"/>
        <v>2018-01</v>
      </c>
      <c r="H235" s="52"/>
      <c r="J235" s="45">
        <v>107.0</v>
      </c>
    </row>
    <row r="236">
      <c r="B236" s="50"/>
      <c r="C236" s="59"/>
      <c r="E236" s="47">
        <v>43129.0</v>
      </c>
      <c r="F236" t="str">
        <f t="shared" si="2"/>
        <v>2018-01</v>
      </c>
      <c r="H236" s="52"/>
      <c r="J236" s="45">
        <v>112.0</v>
      </c>
    </row>
    <row r="237">
      <c r="B237" s="50"/>
      <c r="C237" s="59"/>
      <c r="E237" s="47">
        <v>43160.0</v>
      </c>
      <c r="F237" t="str">
        <f t="shared" si="2"/>
        <v>2018-03</v>
      </c>
      <c r="H237" s="52"/>
      <c r="J237" s="45">
        <v>136.0</v>
      </c>
    </row>
    <row r="238">
      <c r="B238" s="50"/>
      <c r="C238" s="59"/>
      <c r="E238" s="47">
        <v>43164.0</v>
      </c>
      <c r="F238" t="str">
        <f t="shared" si="2"/>
        <v>2018-03</v>
      </c>
      <c r="H238" s="52"/>
      <c r="J238" s="45">
        <v>18.0</v>
      </c>
    </row>
    <row r="239">
      <c r="B239" s="50"/>
      <c r="C239" s="59"/>
      <c r="E239" s="47">
        <v>43192.0</v>
      </c>
      <c r="F239" t="str">
        <f t="shared" si="2"/>
        <v>2018-04</v>
      </c>
      <c r="H239" s="52"/>
      <c r="J239" s="45">
        <v>87.0</v>
      </c>
    </row>
    <row r="240">
      <c r="B240" s="50"/>
      <c r="C240" s="59"/>
      <c r="E240" s="47">
        <v>43196.0</v>
      </c>
      <c r="F240" t="str">
        <f t="shared" si="2"/>
        <v>2018-04</v>
      </c>
      <c r="H240" s="52"/>
      <c r="J240" s="45">
        <v>33.0</v>
      </c>
    </row>
    <row r="241">
      <c r="B241" s="50"/>
      <c r="C241" s="59"/>
      <c r="E241" s="47">
        <v>43220.0</v>
      </c>
      <c r="F241" t="str">
        <f t="shared" si="2"/>
        <v>2018-04</v>
      </c>
      <c r="H241" s="52"/>
      <c r="J241" s="45">
        <v>38.0</v>
      </c>
    </row>
    <row r="242">
      <c r="B242" s="50"/>
      <c r="C242" s="59"/>
      <c r="E242" s="47">
        <v>42324.0</v>
      </c>
      <c r="F242" t="str">
        <f t="shared" si="2"/>
        <v>2015-11</v>
      </c>
      <c r="H242" s="52"/>
      <c r="J242" s="45">
        <v>1421.0</v>
      </c>
    </row>
    <row r="243">
      <c r="B243" s="50"/>
      <c r="C243" s="59"/>
      <c r="E243" s="47">
        <v>42338.0</v>
      </c>
      <c r="F243" t="str">
        <f t="shared" si="2"/>
        <v>2015-11</v>
      </c>
      <c r="H243" s="52"/>
      <c r="J243" s="45">
        <v>298.0</v>
      </c>
    </row>
    <row r="244">
      <c r="B244" s="50"/>
      <c r="C244" s="59"/>
      <c r="E244" s="47">
        <v>42364.0</v>
      </c>
      <c r="F244" t="str">
        <f t="shared" si="2"/>
        <v>2015-12</v>
      </c>
      <c r="H244" s="52"/>
      <c r="J244" s="45">
        <v>282.0</v>
      </c>
    </row>
    <row r="245">
      <c r="B245" s="50"/>
      <c r="C245" s="59"/>
      <c r="E245" s="47">
        <v>42403.0</v>
      </c>
      <c r="F245" t="str">
        <f t="shared" si="2"/>
        <v>2016-02</v>
      </c>
      <c r="H245" s="52"/>
      <c r="J245" s="45">
        <v>528.0</v>
      </c>
    </row>
    <row r="246">
      <c r="B246" s="50"/>
      <c r="C246" s="59"/>
      <c r="E246" s="47">
        <v>42428.0</v>
      </c>
      <c r="F246" t="str">
        <f t="shared" si="2"/>
        <v>2016-02</v>
      </c>
      <c r="H246" s="52"/>
      <c r="J246" s="45">
        <v>253.0</v>
      </c>
    </row>
    <row r="247">
      <c r="B247" s="50"/>
      <c r="C247" s="59"/>
      <c r="E247" s="47">
        <v>42459.0</v>
      </c>
      <c r="F247" t="str">
        <f t="shared" si="2"/>
        <v>2016-03</v>
      </c>
      <c r="H247" s="52"/>
      <c r="J247" s="45">
        <v>379.0</v>
      </c>
    </row>
    <row r="248">
      <c r="B248" s="50"/>
      <c r="C248" s="59"/>
      <c r="E248" s="47">
        <v>42493.0</v>
      </c>
      <c r="F248" t="str">
        <f t="shared" si="2"/>
        <v>2016-05</v>
      </c>
      <c r="H248" s="52"/>
      <c r="J248" s="45">
        <v>177.0</v>
      </c>
    </row>
    <row r="249">
      <c r="B249" s="50"/>
      <c r="C249" s="59"/>
      <c r="E249" s="47">
        <v>42499.0</v>
      </c>
      <c r="F249" t="str">
        <f t="shared" si="2"/>
        <v>2016-05</v>
      </c>
      <c r="H249" s="52"/>
      <c r="J249" s="45">
        <v>6.0</v>
      </c>
    </row>
    <row r="250">
      <c r="B250" s="50"/>
      <c r="C250" s="59"/>
      <c r="E250" s="47">
        <v>42527.0</v>
      </c>
      <c r="F250" t="str">
        <f t="shared" si="2"/>
        <v>2016-06</v>
      </c>
      <c r="H250" s="52"/>
      <c r="J250" s="45">
        <v>171.0</v>
      </c>
    </row>
    <row r="251">
      <c r="B251" s="50"/>
      <c r="C251" s="59"/>
      <c r="E251" s="47">
        <v>42551.0</v>
      </c>
      <c r="F251" t="str">
        <f t="shared" si="2"/>
        <v>2016-06</v>
      </c>
      <c r="H251" s="52"/>
      <c r="J251" s="45">
        <v>174.0</v>
      </c>
    </row>
    <row r="252">
      <c r="B252" s="50"/>
      <c r="C252" s="59"/>
      <c r="E252" s="47">
        <v>42581.0</v>
      </c>
      <c r="F252" t="str">
        <f t="shared" si="2"/>
        <v>2016-07</v>
      </c>
      <c r="H252" s="52"/>
      <c r="J252" s="45">
        <v>139.0</v>
      </c>
    </row>
    <row r="253">
      <c r="B253" s="50"/>
      <c r="C253" s="59"/>
      <c r="E253" s="47">
        <v>42503.0</v>
      </c>
      <c r="F253" t="str">
        <f t="shared" si="2"/>
        <v>2016-05</v>
      </c>
      <c r="H253" s="52"/>
      <c r="J253" s="45">
        <v>590.0</v>
      </c>
    </row>
    <row r="254">
      <c r="B254" s="50"/>
      <c r="C254" s="59"/>
      <c r="E254" s="47">
        <v>42516.0</v>
      </c>
      <c r="F254" t="str">
        <f t="shared" si="2"/>
        <v>2016-05</v>
      </c>
      <c r="H254" s="52"/>
      <c r="J254" s="45">
        <v>78.0</v>
      </c>
    </row>
    <row r="255">
      <c r="B255" s="50"/>
      <c r="C255" s="59"/>
      <c r="E255" s="47">
        <v>42520.0</v>
      </c>
      <c r="F255" t="str">
        <f t="shared" si="2"/>
        <v>2016-05</v>
      </c>
      <c r="H255" s="52"/>
      <c r="J255" s="45">
        <v>21.0</v>
      </c>
    </row>
    <row r="256">
      <c r="B256" s="50"/>
      <c r="C256" s="59"/>
      <c r="E256" s="47">
        <v>42536.0</v>
      </c>
      <c r="F256" t="str">
        <f t="shared" si="2"/>
        <v>2016-06</v>
      </c>
      <c r="H256" s="52"/>
      <c r="J256" s="45">
        <v>130.0</v>
      </c>
    </row>
    <row r="257">
      <c r="B257" s="50"/>
      <c r="C257" s="59"/>
      <c r="E257" s="47">
        <v>42551.0</v>
      </c>
      <c r="F257" t="str">
        <f t="shared" si="2"/>
        <v>2016-06</v>
      </c>
      <c r="H257" s="52"/>
      <c r="J257" s="45">
        <v>169.0</v>
      </c>
    </row>
    <row r="258">
      <c r="B258" s="50"/>
      <c r="C258" s="59"/>
      <c r="E258" s="47">
        <v>42581.0</v>
      </c>
      <c r="F258" t="str">
        <f t="shared" si="2"/>
        <v>2016-07</v>
      </c>
      <c r="H258" s="52"/>
      <c r="J258" s="45">
        <v>162.0</v>
      </c>
    </row>
    <row r="259">
      <c r="B259" s="50"/>
      <c r="C259" s="59"/>
      <c r="E259" s="47">
        <v>42616.0</v>
      </c>
      <c r="F259" t="str">
        <f t="shared" si="2"/>
        <v>2016-09</v>
      </c>
      <c r="H259" s="52"/>
      <c r="J259" s="45">
        <v>205.0</v>
      </c>
    </row>
    <row r="260">
      <c r="B260" s="50"/>
      <c r="C260" s="59"/>
      <c r="E260" s="47">
        <v>42646.0</v>
      </c>
      <c r="F260" t="str">
        <f t="shared" si="2"/>
        <v>2016-10</v>
      </c>
      <c r="H260" s="52"/>
      <c r="J260" s="45">
        <v>201.0</v>
      </c>
    </row>
    <row r="261">
      <c r="B261" s="50"/>
      <c r="C261" s="59"/>
      <c r="E261" s="47">
        <v>42670.0</v>
      </c>
      <c r="F261" t="str">
        <f t="shared" si="2"/>
        <v>2016-10</v>
      </c>
      <c r="H261" s="52"/>
      <c r="J261" s="45">
        <v>147.0</v>
      </c>
    </row>
    <row r="262">
      <c r="B262" s="50"/>
      <c r="C262" s="59"/>
      <c r="E262" s="47">
        <v>42695.0</v>
      </c>
      <c r="F262" t="str">
        <f t="shared" si="2"/>
        <v>2016-11</v>
      </c>
      <c r="H262" s="52"/>
      <c r="J262" s="45">
        <v>142.0</v>
      </c>
    </row>
    <row r="263">
      <c r="B263" s="50"/>
      <c r="C263" s="59"/>
      <c r="E263" s="47">
        <v>42717.0</v>
      </c>
      <c r="F263" t="str">
        <f t="shared" si="2"/>
        <v>2016-12</v>
      </c>
      <c r="H263" s="52"/>
      <c r="J263" s="45">
        <v>179.0</v>
      </c>
    </row>
    <row r="264">
      <c r="B264" s="50"/>
      <c r="C264" s="59"/>
      <c r="E264" s="47">
        <v>42747.0</v>
      </c>
      <c r="F264" t="str">
        <f t="shared" si="2"/>
        <v>2017-01</v>
      </c>
      <c r="H264" s="52"/>
      <c r="J264" s="45">
        <v>224.0</v>
      </c>
    </row>
    <row r="265">
      <c r="B265" s="50"/>
      <c r="C265" s="59"/>
      <c r="E265" s="47">
        <v>42763.0</v>
      </c>
      <c r="F265" t="str">
        <f t="shared" si="2"/>
        <v>2017-01</v>
      </c>
      <c r="H265" s="52"/>
      <c r="J265" s="45">
        <v>92.0</v>
      </c>
    </row>
    <row r="266">
      <c r="B266" s="50"/>
      <c r="C266" s="59"/>
      <c r="E266" s="47">
        <v>42670.0</v>
      </c>
      <c r="F266" t="str">
        <f t="shared" si="2"/>
        <v>2016-10</v>
      </c>
      <c r="H266" s="52"/>
      <c r="J266" s="45">
        <v>653.0</v>
      </c>
    </row>
    <row r="267">
      <c r="B267" s="50"/>
      <c r="C267" s="59"/>
      <c r="E267" s="47">
        <v>42691.0</v>
      </c>
      <c r="F267" t="str">
        <f t="shared" si="2"/>
        <v>2016-11</v>
      </c>
      <c r="H267" s="52"/>
      <c r="J267" s="45">
        <v>232.0</v>
      </c>
    </row>
    <row r="268">
      <c r="B268" s="50"/>
      <c r="C268" s="59"/>
      <c r="E268" s="47">
        <v>42701.0</v>
      </c>
      <c r="F268" t="str">
        <f t="shared" si="2"/>
        <v>2016-11</v>
      </c>
      <c r="H268" s="52"/>
      <c r="J268" s="45">
        <v>116.0</v>
      </c>
    </row>
    <row r="269">
      <c r="B269" s="50"/>
      <c r="C269" s="59"/>
      <c r="E269" s="47">
        <v>42704.0</v>
      </c>
      <c r="F269" t="str">
        <f t="shared" si="2"/>
        <v>2016-11</v>
      </c>
      <c r="H269" s="52"/>
      <c r="J269" s="45">
        <v>32.0</v>
      </c>
    </row>
    <row r="270">
      <c r="B270" s="50"/>
      <c r="C270" s="59"/>
      <c r="E270" s="47">
        <v>42717.0</v>
      </c>
      <c r="F270" t="str">
        <f t="shared" si="2"/>
        <v>2016-12</v>
      </c>
      <c r="H270" s="52"/>
      <c r="J270" s="45">
        <v>176.0</v>
      </c>
    </row>
    <row r="271">
      <c r="B271" s="50"/>
      <c r="C271" s="59"/>
      <c r="E271" s="47">
        <v>42747.0</v>
      </c>
      <c r="F271" t="str">
        <f t="shared" si="2"/>
        <v>2017-01</v>
      </c>
      <c r="H271" s="52"/>
      <c r="J271" s="45">
        <v>320.0</v>
      </c>
    </row>
    <row r="272">
      <c r="B272" s="50"/>
      <c r="C272" s="59"/>
      <c r="E272" s="47">
        <v>42772.0</v>
      </c>
      <c r="F272" t="str">
        <f t="shared" si="2"/>
        <v>2017-02</v>
      </c>
      <c r="H272" s="52"/>
      <c r="J272" s="45">
        <v>194.0</v>
      </c>
    </row>
    <row r="273">
      <c r="B273" s="50"/>
      <c r="C273" s="59"/>
      <c r="E273" s="47">
        <v>42783.0</v>
      </c>
      <c r="F273" t="str">
        <f t="shared" si="2"/>
        <v>2017-02</v>
      </c>
      <c r="H273" s="52"/>
      <c r="J273" s="45">
        <v>77.0</v>
      </c>
    </row>
    <row r="274">
      <c r="B274" s="50"/>
      <c r="C274" s="59"/>
      <c r="E274" s="47">
        <v>42803.0</v>
      </c>
      <c r="F274" t="str">
        <f t="shared" si="2"/>
        <v>2017-03</v>
      </c>
      <c r="H274" s="52"/>
      <c r="J274" s="45">
        <v>239.0</v>
      </c>
    </row>
    <row r="275">
      <c r="B275" s="50"/>
      <c r="C275" s="59"/>
      <c r="E275" s="47">
        <v>42804.0</v>
      </c>
      <c r="F275" t="str">
        <f t="shared" si="2"/>
        <v>2017-03</v>
      </c>
      <c r="H275" s="52"/>
      <c r="J275" s="45">
        <v>10.0</v>
      </c>
    </row>
    <row r="276">
      <c r="B276" s="50"/>
      <c r="C276" s="59"/>
      <c r="E276" s="47">
        <v>42830.0</v>
      </c>
      <c r="F276" t="str">
        <f t="shared" si="2"/>
        <v>2017-04</v>
      </c>
      <c r="H276" s="52"/>
      <c r="J276" s="45">
        <v>193.0</v>
      </c>
    </row>
    <row r="277">
      <c r="B277" s="50"/>
      <c r="C277" s="59"/>
      <c r="E277" s="47">
        <v>42856.0</v>
      </c>
      <c r="F277" t="str">
        <f t="shared" si="2"/>
        <v>2017-05</v>
      </c>
      <c r="H277" s="52"/>
      <c r="J277" s="45">
        <v>159.0</v>
      </c>
    </row>
    <row r="278">
      <c r="B278" s="50"/>
      <c r="C278" s="59"/>
      <c r="E278" s="47">
        <v>42884.0</v>
      </c>
      <c r="F278" t="str">
        <f t="shared" si="2"/>
        <v>2017-05</v>
      </c>
      <c r="H278" s="52"/>
      <c r="J278" s="45">
        <v>143.0</v>
      </c>
    </row>
    <row r="279">
      <c r="B279" s="50"/>
      <c r="C279" s="59"/>
      <c r="E279" s="47">
        <v>42920.0</v>
      </c>
      <c r="F279" t="str">
        <f t="shared" si="2"/>
        <v>2017-07</v>
      </c>
      <c r="H279" s="52"/>
      <c r="J279" s="45">
        <v>192.0</v>
      </c>
    </row>
    <row r="280">
      <c r="B280" s="50"/>
      <c r="C280" s="59"/>
      <c r="E280" s="47">
        <v>42921.0</v>
      </c>
      <c r="F280" t="str">
        <f t="shared" si="2"/>
        <v>2017-07</v>
      </c>
      <c r="H280" s="52"/>
      <c r="J280" s="45">
        <v>25.0</v>
      </c>
    </row>
    <row r="281">
      <c r="B281" s="50"/>
      <c r="C281" s="59"/>
      <c r="E281" s="47">
        <v>42933.0</v>
      </c>
      <c r="F281" t="str">
        <f t="shared" si="2"/>
        <v>2017-07</v>
      </c>
      <c r="H281" s="52"/>
      <c r="J281" s="45">
        <v>67.0</v>
      </c>
    </row>
    <row r="282">
      <c r="B282" s="50"/>
      <c r="C282" s="59"/>
      <c r="E282" s="47">
        <v>42948.0</v>
      </c>
      <c r="F282" t="str">
        <f t="shared" si="2"/>
        <v>2017-08</v>
      </c>
      <c r="H282" s="52"/>
      <c r="J282" s="45">
        <v>87.0</v>
      </c>
    </row>
    <row r="283">
      <c r="B283" s="50"/>
      <c r="C283" s="59"/>
      <c r="E283" s="47">
        <v>43055.0</v>
      </c>
      <c r="F283" t="str">
        <f t="shared" si="2"/>
        <v>2017-11</v>
      </c>
      <c r="H283" s="52"/>
      <c r="J283" s="45">
        <v>0.0</v>
      </c>
    </row>
    <row r="284">
      <c r="B284" s="50"/>
      <c r="C284" s="59"/>
      <c r="E284" s="47">
        <v>42856.0</v>
      </c>
      <c r="F284" t="str">
        <f t="shared" si="2"/>
        <v>2017-05</v>
      </c>
      <c r="H284" s="52"/>
      <c r="J284" s="45">
        <v>1204.0</v>
      </c>
    </row>
    <row r="285">
      <c r="B285" s="50"/>
      <c r="C285" s="59"/>
      <c r="E285" s="47">
        <v>42872.0</v>
      </c>
      <c r="F285" t="str">
        <f t="shared" si="2"/>
        <v>2017-05</v>
      </c>
      <c r="H285" s="52"/>
      <c r="J285" s="45">
        <v>139.0</v>
      </c>
    </row>
    <row r="286">
      <c r="B286" s="50"/>
      <c r="C286" s="59"/>
      <c r="E286" s="47">
        <v>42884.0</v>
      </c>
      <c r="F286" t="str">
        <f t="shared" si="2"/>
        <v>2017-05</v>
      </c>
      <c r="H286" s="52"/>
      <c r="J286" s="45">
        <v>169.0</v>
      </c>
    </row>
    <row r="287">
      <c r="B287" s="50"/>
      <c r="C287" s="59"/>
      <c r="E287" s="47">
        <v>42891.0</v>
      </c>
      <c r="F287" t="str">
        <f t="shared" si="2"/>
        <v>2017-06</v>
      </c>
      <c r="H287" s="52"/>
      <c r="J287" s="45">
        <v>113.0</v>
      </c>
    </row>
    <row r="288">
      <c r="B288" s="50"/>
      <c r="C288" s="59"/>
      <c r="E288" s="47">
        <v>42892.0</v>
      </c>
      <c r="F288" t="str">
        <f t="shared" si="2"/>
        <v>2017-06</v>
      </c>
      <c r="H288" s="52"/>
      <c r="J288" s="45">
        <v>15.0</v>
      </c>
    </row>
    <row r="289">
      <c r="B289" s="50"/>
      <c r="C289" s="59"/>
      <c r="E289" s="47">
        <v>42920.0</v>
      </c>
      <c r="F289" t="str">
        <f t="shared" si="2"/>
        <v>2017-07</v>
      </c>
      <c r="H289" s="52"/>
      <c r="J289" s="45">
        <v>215.0</v>
      </c>
    </row>
    <row r="290">
      <c r="B290" s="50"/>
      <c r="C290" s="59"/>
      <c r="E290" s="47">
        <v>42921.0</v>
      </c>
      <c r="F290" t="str">
        <f t="shared" si="2"/>
        <v>2017-07</v>
      </c>
      <c r="H290" s="52"/>
      <c r="J290" s="45">
        <v>37.0</v>
      </c>
    </row>
    <row r="291">
      <c r="B291" s="50"/>
      <c r="C291" s="59"/>
      <c r="E291" s="47">
        <v>42933.0</v>
      </c>
      <c r="F291" t="str">
        <f t="shared" si="2"/>
        <v>2017-07</v>
      </c>
      <c r="H291" s="52"/>
      <c r="J291" s="45">
        <v>113.0</v>
      </c>
    </row>
    <row r="292">
      <c r="B292" s="50"/>
      <c r="C292" s="59"/>
      <c r="E292" s="47">
        <v>42948.0</v>
      </c>
      <c r="F292" t="str">
        <f t="shared" si="2"/>
        <v>2017-08</v>
      </c>
      <c r="H292" s="52"/>
      <c r="J292" s="45">
        <v>138.0</v>
      </c>
    </row>
    <row r="293">
      <c r="B293" s="50"/>
      <c r="C293" s="59"/>
      <c r="E293" s="47">
        <v>42975.0</v>
      </c>
      <c r="F293" t="str">
        <f t="shared" si="2"/>
        <v>2017-08</v>
      </c>
      <c r="H293" s="52"/>
      <c r="J293" s="45">
        <v>164.0</v>
      </c>
    </row>
    <row r="294">
      <c r="B294" s="50"/>
      <c r="C294" s="59"/>
      <c r="E294" s="47">
        <v>42975.0</v>
      </c>
      <c r="F294" t="str">
        <f t="shared" si="2"/>
        <v>2017-08</v>
      </c>
      <c r="H294" s="52"/>
      <c r="J294" s="45">
        <v>6.0</v>
      </c>
    </row>
    <row r="295">
      <c r="B295" s="50"/>
      <c r="C295" s="59"/>
      <c r="E295" s="47">
        <v>42989.0</v>
      </c>
      <c r="F295" t="str">
        <f t="shared" si="2"/>
        <v>2017-09</v>
      </c>
      <c r="H295" s="52"/>
      <c r="J295" s="45">
        <v>82.0</v>
      </c>
    </row>
    <row r="296">
      <c r="B296" s="50"/>
      <c r="C296" s="59"/>
      <c r="E296" s="47">
        <v>43013.0</v>
      </c>
      <c r="F296" t="str">
        <f t="shared" si="2"/>
        <v>2017-10</v>
      </c>
      <c r="H296" s="52"/>
      <c r="J296" s="45">
        <v>160.0</v>
      </c>
    </row>
    <row r="297">
      <c r="B297" s="50"/>
      <c r="C297" s="59"/>
      <c r="E297" s="47">
        <v>43049.0</v>
      </c>
      <c r="F297" t="str">
        <f t="shared" si="2"/>
        <v>2017-11</v>
      </c>
      <c r="H297" s="52"/>
      <c r="J297" s="45">
        <v>244.0</v>
      </c>
    </row>
    <row r="298">
      <c r="B298" s="50"/>
      <c r="C298" s="59"/>
      <c r="E298" s="47">
        <v>43052.0</v>
      </c>
      <c r="F298" t="str">
        <f t="shared" si="2"/>
        <v>2017-11</v>
      </c>
      <c r="H298" s="52"/>
      <c r="J298" s="45">
        <v>33.0</v>
      </c>
    </row>
    <row r="299">
      <c r="B299" s="50"/>
      <c r="C299" s="59"/>
      <c r="E299" s="47">
        <v>43055.0</v>
      </c>
      <c r="F299" t="str">
        <f t="shared" si="2"/>
        <v>2017-11</v>
      </c>
      <c r="H299" s="52"/>
      <c r="J299" s="45">
        <v>31.0</v>
      </c>
    </row>
    <row r="300">
      <c r="B300" s="50"/>
      <c r="C300" s="59"/>
      <c r="E300" s="47">
        <v>43073.0</v>
      </c>
      <c r="F300" t="str">
        <f t="shared" si="2"/>
        <v>2017-12</v>
      </c>
      <c r="H300" s="52"/>
      <c r="J300" s="45">
        <v>149.0</v>
      </c>
    </row>
    <row r="301">
      <c r="B301" s="50"/>
      <c r="C301" s="59"/>
      <c r="E301" s="47">
        <v>43105.0</v>
      </c>
      <c r="F301" t="str">
        <f t="shared" si="2"/>
        <v>2018-01</v>
      </c>
      <c r="H301" s="52"/>
      <c r="J301" s="45">
        <v>202.0</v>
      </c>
    </row>
    <row r="302">
      <c r="B302" s="50"/>
      <c r="C302" s="59"/>
      <c r="E302" s="47">
        <v>43129.0</v>
      </c>
      <c r="F302" t="str">
        <f t="shared" si="2"/>
        <v>2018-01</v>
      </c>
      <c r="H302" s="52"/>
      <c r="J302" s="45">
        <v>156.0</v>
      </c>
    </row>
    <row r="303">
      <c r="B303" s="50"/>
      <c r="C303" s="59"/>
      <c r="E303" s="47">
        <v>43026.0</v>
      </c>
      <c r="F303" t="str">
        <f t="shared" si="2"/>
        <v>2017-10</v>
      </c>
      <c r="H303" s="52"/>
      <c r="J303" s="45">
        <v>22.0</v>
      </c>
    </row>
    <row r="304">
      <c r="B304" s="50"/>
      <c r="C304" s="59"/>
      <c r="E304" s="47">
        <v>43038.0</v>
      </c>
      <c r="F304" t="str">
        <f t="shared" si="2"/>
        <v>2017-10</v>
      </c>
      <c r="H304" s="52"/>
      <c r="J304" s="45">
        <v>178.0</v>
      </c>
    </row>
    <row r="305">
      <c r="B305" s="50"/>
      <c r="C305" s="59"/>
      <c r="E305" s="47">
        <v>43044.0</v>
      </c>
      <c r="F305" t="str">
        <f t="shared" si="2"/>
        <v>2017-11</v>
      </c>
      <c r="H305" s="52"/>
      <c r="J305" s="45">
        <v>72.0</v>
      </c>
    </row>
    <row r="306">
      <c r="B306" s="50"/>
      <c r="C306" s="59"/>
      <c r="E306" s="47">
        <v>43051.0</v>
      </c>
      <c r="F306" t="str">
        <f t="shared" si="2"/>
        <v>2017-11</v>
      </c>
      <c r="H306" s="52"/>
      <c r="J306" s="45">
        <v>116.0</v>
      </c>
    </row>
    <row r="307">
      <c r="B307" s="50"/>
      <c r="C307" s="59"/>
      <c r="E307" s="47">
        <v>43060.0</v>
      </c>
      <c r="F307" t="str">
        <f t="shared" si="2"/>
        <v>2017-11</v>
      </c>
      <c r="H307" s="52"/>
      <c r="J307" s="45">
        <v>57.0</v>
      </c>
    </row>
    <row r="308">
      <c r="B308" s="50"/>
      <c r="C308" s="59"/>
      <c r="E308" s="47">
        <v>43063.0</v>
      </c>
      <c r="F308" t="str">
        <f t="shared" si="2"/>
        <v>2017-11</v>
      </c>
      <c r="H308" s="52"/>
      <c r="J308" s="45">
        <v>61.0</v>
      </c>
    </row>
    <row r="309">
      <c r="B309" s="50"/>
      <c r="C309" s="59"/>
      <c r="E309" s="47">
        <v>43069.0</v>
      </c>
      <c r="F309" t="str">
        <f t="shared" si="2"/>
        <v>2017-11</v>
      </c>
      <c r="H309" s="52"/>
      <c r="J309" s="45">
        <v>67.0</v>
      </c>
    </row>
    <row r="310">
      <c r="B310" s="50"/>
      <c r="C310" s="59"/>
      <c r="E310" s="47">
        <v>43073.0</v>
      </c>
      <c r="F310" t="str">
        <f t="shared" si="2"/>
        <v>2017-12</v>
      </c>
      <c r="H310" s="52"/>
      <c r="J310" s="45">
        <v>62.0</v>
      </c>
    </row>
    <row r="311">
      <c r="B311" s="50"/>
      <c r="C311" s="59"/>
      <c r="E311" s="47">
        <v>43084.0</v>
      </c>
      <c r="F311" t="str">
        <f t="shared" si="2"/>
        <v>2017-12</v>
      </c>
      <c r="H311" s="52"/>
      <c r="J311" s="45">
        <v>8.0</v>
      </c>
    </row>
    <row r="312">
      <c r="B312" s="50"/>
      <c r="C312" s="59"/>
      <c r="E312" s="47">
        <v>43105.0</v>
      </c>
      <c r="F312" t="str">
        <f t="shared" si="2"/>
        <v>2018-01</v>
      </c>
      <c r="H312" s="52"/>
      <c r="J312" s="45">
        <v>161.0</v>
      </c>
    </row>
    <row r="313">
      <c r="B313" s="50"/>
      <c r="C313" s="59"/>
      <c r="E313" s="47">
        <v>43129.0</v>
      </c>
      <c r="F313" t="str">
        <f t="shared" si="2"/>
        <v>2018-01</v>
      </c>
      <c r="H313" s="52"/>
      <c r="J313" s="45">
        <v>35.0</v>
      </c>
    </row>
    <row r="314">
      <c r="B314" s="50"/>
      <c r="C314" s="59"/>
      <c r="E314" s="47">
        <v>43160.0</v>
      </c>
      <c r="F314" t="str">
        <f t="shared" si="2"/>
        <v>2018-03</v>
      </c>
      <c r="H314" s="52"/>
      <c r="J314" s="45">
        <v>39.0</v>
      </c>
    </row>
    <row r="315">
      <c r="B315" s="50"/>
      <c r="C315" s="59"/>
      <c r="E315" s="47">
        <v>43164.0</v>
      </c>
      <c r="F315" t="str">
        <f t="shared" si="2"/>
        <v>2018-03</v>
      </c>
      <c r="H315" s="52"/>
      <c r="J315" s="45">
        <v>35.0</v>
      </c>
    </row>
    <row r="316">
      <c r="B316" s="50"/>
      <c r="C316" s="59"/>
      <c r="E316" s="47">
        <v>43193.0</v>
      </c>
      <c r="F316" t="str">
        <f t="shared" si="2"/>
        <v>2018-04</v>
      </c>
      <c r="H316" s="52"/>
      <c r="J316" s="45">
        <v>74.0</v>
      </c>
    </row>
    <row r="317">
      <c r="B317" s="50"/>
      <c r="C317" s="59"/>
      <c r="E317" s="47">
        <v>43196.0</v>
      </c>
      <c r="F317" t="str">
        <f t="shared" si="2"/>
        <v>2018-04</v>
      </c>
      <c r="H317" s="52"/>
      <c r="J317" s="45">
        <v>39.0</v>
      </c>
    </row>
    <row r="318">
      <c r="B318" s="50"/>
      <c r="C318" s="59"/>
      <c r="E318" s="47">
        <v>43220.0</v>
      </c>
      <c r="F318" t="str">
        <f t="shared" si="2"/>
        <v>2018-04</v>
      </c>
      <c r="H318" s="52"/>
      <c r="J318" s="45">
        <v>21.0</v>
      </c>
    </row>
    <row r="319">
      <c r="B319" s="50"/>
      <c r="C319" s="59"/>
      <c r="E319" s="47">
        <v>43027.0</v>
      </c>
      <c r="F319" t="str">
        <f t="shared" si="2"/>
        <v>2017-10</v>
      </c>
      <c r="H319" s="52"/>
      <c r="J319" s="45">
        <v>104.0</v>
      </c>
    </row>
    <row r="320">
      <c r="B320" s="50"/>
      <c r="C320" s="59"/>
      <c r="E320" s="47">
        <v>43038.0</v>
      </c>
      <c r="F320" t="str">
        <f t="shared" si="2"/>
        <v>2017-10</v>
      </c>
      <c r="H320" s="52"/>
      <c r="J320" s="45">
        <v>28.0</v>
      </c>
    </row>
    <row r="321">
      <c r="B321" s="50"/>
      <c r="C321" s="59"/>
      <c r="E321" s="47">
        <v>43044.0</v>
      </c>
      <c r="F321" t="str">
        <f t="shared" si="2"/>
        <v>2017-11</v>
      </c>
      <c r="H321" s="52"/>
      <c r="J321" s="45">
        <v>22.0</v>
      </c>
    </row>
    <row r="322">
      <c r="B322" s="50"/>
      <c r="C322" s="59"/>
      <c r="E322" s="47">
        <v>43051.0</v>
      </c>
      <c r="F322" t="str">
        <f t="shared" si="2"/>
        <v>2017-11</v>
      </c>
      <c r="H322" s="52"/>
      <c r="J322" s="45">
        <v>138.0</v>
      </c>
    </row>
    <row r="323">
      <c r="B323" s="50"/>
      <c r="C323" s="59"/>
      <c r="E323" s="47">
        <v>43060.0</v>
      </c>
      <c r="F323" t="str">
        <f t="shared" si="2"/>
        <v>2017-11</v>
      </c>
      <c r="H323" s="52"/>
      <c r="J323" s="45">
        <v>29.0</v>
      </c>
    </row>
    <row r="324">
      <c r="B324" s="50"/>
      <c r="C324" s="59"/>
      <c r="E324" s="47">
        <v>43063.0</v>
      </c>
      <c r="F324" t="str">
        <f t="shared" si="2"/>
        <v>2017-11</v>
      </c>
      <c r="H324" s="52"/>
      <c r="J324" s="45">
        <v>73.0</v>
      </c>
    </row>
    <row r="325">
      <c r="B325" s="50"/>
      <c r="C325" s="59"/>
      <c r="E325" s="47">
        <v>43069.0</v>
      </c>
      <c r="F325" t="str">
        <f t="shared" si="2"/>
        <v>2017-11</v>
      </c>
      <c r="H325" s="52"/>
      <c r="J325" s="45">
        <v>78.0</v>
      </c>
    </row>
    <row r="326">
      <c r="B326" s="50"/>
      <c r="C326" s="59"/>
      <c r="E326" s="47">
        <v>43074.0</v>
      </c>
      <c r="F326" t="str">
        <f t="shared" si="2"/>
        <v>2017-12</v>
      </c>
      <c r="H326" s="52"/>
      <c r="J326" s="45">
        <v>76.0</v>
      </c>
    </row>
    <row r="327">
      <c r="B327" s="50"/>
      <c r="C327" s="59"/>
      <c r="E327" s="47">
        <v>43084.0</v>
      </c>
      <c r="F327" t="str">
        <f t="shared" si="2"/>
        <v>2017-12</v>
      </c>
      <c r="H327" s="52"/>
      <c r="J327" s="45">
        <v>188.0</v>
      </c>
    </row>
    <row r="328">
      <c r="B328" s="50"/>
      <c r="C328" s="59"/>
      <c r="E328" s="47">
        <v>43105.0</v>
      </c>
      <c r="F328" t="str">
        <f t="shared" si="2"/>
        <v>2018-01</v>
      </c>
      <c r="H328" s="52"/>
      <c r="J328" s="45">
        <v>107.0</v>
      </c>
    </row>
    <row r="329">
      <c r="B329" s="50"/>
      <c r="C329" s="59"/>
      <c r="E329" s="47">
        <v>43129.0</v>
      </c>
      <c r="F329" t="str">
        <f t="shared" si="2"/>
        <v>2018-01</v>
      </c>
      <c r="H329" s="52"/>
      <c r="J329" s="45">
        <v>124.0</v>
      </c>
    </row>
    <row r="330">
      <c r="B330" s="50"/>
      <c r="C330" s="59"/>
      <c r="E330" s="47">
        <v>43160.0</v>
      </c>
      <c r="F330" t="str">
        <f t="shared" si="2"/>
        <v>2018-03</v>
      </c>
      <c r="H330" s="52"/>
      <c r="J330" s="45">
        <v>327.0</v>
      </c>
    </row>
    <row r="331">
      <c r="B331" s="50"/>
      <c r="C331" s="59"/>
      <c r="E331" s="47">
        <v>43164.0</v>
      </c>
      <c r="F331" t="str">
        <f t="shared" si="2"/>
        <v>2018-03</v>
      </c>
      <c r="H331" s="52"/>
      <c r="J331" s="45">
        <v>44.0</v>
      </c>
    </row>
    <row r="332">
      <c r="B332" s="50"/>
      <c r="C332" s="59"/>
      <c r="E332" s="47">
        <v>43193.0</v>
      </c>
      <c r="F332" t="str">
        <f t="shared" si="2"/>
        <v>2018-04</v>
      </c>
      <c r="H332" s="52"/>
      <c r="J332" s="45">
        <v>202.0</v>
      </c>
    </row>
    <row r="333">
      <c r="B333" s="50"/>
      <c r="C333" s="59"/>
      <c r="E333" s="47">
        <v>43196.0</v>
      </c>
      <c r="F333" t="str">
        <f t="shared" si="2"/>
        <v>2018-04</v>
      </c>
      <c r="H333" s="52"/>
      <c r="J333" s="45">
        <v>47.0</v>
      </c>
    </row>
    <row r="334">
      <c r="B334" s="50"/>
      <c r="C334" s="59"/>
      <c r="E334" s="47">
        <v>43220.0</v>
      </c>
      <c r="F334" t="str">
        <f t="shared" si="2"/>
        <v>2018-04</v>
      </c>
      <c r="H334" s="52"/>
      <c r="J334" s="45">
        <v>150.0</v>
      </c>
    </row>
    <row r="335">
      <c r="B335" s="50"/>
      <c r="C335" s="59"/>
      <c r="E335" s="47">
        <v>43227.0</v>
      </c>
      <c r="F335" t="str">
        <f t="shared" si="2"/>
        <v>2018-05</v>
      </c>
      <c r="H335" s="52"/>
      <c r="J335" s="45">
        <v>843.0</v>
      </c>
    </row>
    <row r="336">
      <c r="B336" s="50"/>
      <c r="C336" s="59"/>
      <c r="E336" s="47">
        <v>40434.0</v>
      </c>
      <c r="F336" t="str">
        <f t="shared" si="2"/>
        <v>2010-09</v>
      </c>
      <c r="H336" s="52"/>
      <c r="J336" s="45">
        <v>0.0</v>
      </c>
    </row>
    <row r="337">
      <c r="B337" s="50"/>
      <c r="C337" s="59"/>
      <c r="E337" s="47">
        <v>40513.0</v>
      </c>
      <c r="F337" t="str">
        <f t="shared" si="2"/>
        <v>2010-12</v>
      </c>
      <c r="H337" s="52"/>
      <c r="J337" s="45">
        <v>399.0</v>
      </c>
    </row>
    <row r="338">
      <c r="B338" s="50"/>
      <c r="C338" s="59"/>
      <c r="E338" s="47">
        <v>40560.0</v>
      </c>
      <c r="F338" t="str">
        <f t="shared" si="2"/>
        <v>2011-01</v>
      </c>
      <c r="H338" s="52"/>
      <c r="J338" s="45">
        <v>357.0</v>
      </c>
    </row>
    <row r="339">
      <c r="B339" s="50"/>
      <c r="C339" s="59"/>
      <c r="E339" s="47">
        <v>40579.0</v>
      </c>
      <c r="F339" t="str">
        <f t="shared" si="2"/>
        <v>2011-02</v>
      </c>
      <c r="H339" s="52"/>
      <c r="J339" s="45">
        <v>361.0</v>
      </c>
    </row>
    <row r="340">
      <c r="B340" s="50"/>
      <c r="C340" s="59"/>
      <c r="E340" s="47">
        <v>40623.0</v>
      </c>
      <c r="F340" t="str">
        <f t="shared" si="2"/>
        <v>2011-03</v>
      </c>
      <c r="H340" s="52"/>
      <c r="J340" s="45">
        <v>0.0</v>
      </c>
    </row>
    <row r="341">
      <c r="B341" s="50"/>
      <c r="C341" s="59"/>
      <c r="E341" s="47">
        <v>40631.0</v>
      </c>
      <c r="F341" t="str">
        <f t="shared" si="2"/>
        <v>2011-03</v>
      </c>
      <c r="H341" s="52"/>
      <c r="J341" s="45">
        <v>195.0</v>
      </c>
    </row>
    <row r="342">
      <c r="B342" s="50"/>
      <c r="C342" s="59"/>
      <c r="E342" s="47">
        <v>40638.0</v>
      </c>
      <c r="F342" t="str">
        <f t="shared" si="2"/>
        <v>2011-04</v>
      </c>
      <c r="H342" s="52"/>
      <c r="J342" s="45">
        <v>197.0</v>
      </c>
    </row>
    <row r="343">
      <c r="B343" s="50"/>
      <c r="C343" s="59"/>
      <c r="E343" s="47">
        <v>40645.0</v>
      </c>
      <c r="F343" t="str">
        <f t="shared" si="2"/>
        <v>2011-04</v>
      </c>
      <c r="H343" s="52"/>
      <c r="J343" s="45">
        <v>70.0</v>
      </c>
    </row>
    <row r="344">
      <c r="B344" s="50"/>
      <c r="C344" s="59"/>
      <c r="E344" s="47">
        <v>40652.0</v>
      </c>
      <c r="F344" t="str">
        <f t="shared" si="2"/>
        <v>2011-04</v>
      </c>
      <c r="H344" s="52"/>
      <c r="J344" s="45">
        <v>108.0</v>
      </c>
    </row>
    <row r="345">
      <c r="B345" s="50"/>
      <c r="C345" s="59"/>
      <c r="H345" s="52"/>
    </row>
    <row r="346">
      <c r="B346" s="50"/>
      <c r="C346" s="59"/>
      <c r="H346" s="52"/>
    </row>
    <row r="347">
      <c r="B347" s="50"/>
      <c r="C347" s="59"/>
      <c r="H347" s="52"/>
    </row>
    <row r="348">
      <c r="B348" s="50"/>
      <c r="C348" s="59"/>
      <c r="H348" s="52"/>
    </row>
    <row r="349">
      <c r="B349" s="50"/>
      <c r="C349" s="59"/>
      <c r="H349" s="52"/>
    </row>
    <row r="350">
      <c r="B350" s="50"/>
      <c r="C350" s="59"/>
      <c r="H350" s="52"/>
    </row>
    <row r="351">
      <c r="B351" s="50"/>
      <c r="C351" s="59"/>
      <c r="H351" s="52"/>
    </row>
    <row r="352">
      <c r="B352" s="50"/>
      <c r="C352" s="59"/>
      <c r="H352" s="52"/>
    </row>
    <row r="353">
      <c r="B353" s="50"/>
      <c r="C353" s="59"/>
      <c r="H353" s="52"/>
    </row>
    <row r="354">
      <c r="B354" s="50"/>
      <c r="C354" s="59"/>
      <c r="H354" s="52"/>
    </row>
    <row r="355">
      <c r="B355" s="50"/>
      <c r="C355" s="59"/>
      <c r="H355" s="52"/>
    </row>
    <row r="356">
      <c r="B356" s="50"/>
      <c r="C356" s="59"/>
      <c r="H356" s="52"/>
    </row>
    <row r="357">
      <c r="B357" s="50"/>
      <c r="C357" s="59"/>
      <c r="H357" s="52"/>
    </row>
    <row r="358">
      <c r="B358" s="50"/>
      <c r="C358" s="59"/>
      <c r="H358" s="52"/>
    </row>
    <row r="359">
      <c r="B359" s="50"/>
      <c r="C359" s="59"/>
      <c r="H359" s="52"/>
    </row>
    <row r="360">
      <c r="B360" s="50"/>
      <c r="C360" s="59"/>
      <c r="H360" s="52"/>
    </row>
    <row r="361">
      <c r="B361" s="50"/>
      <c r="C361" s="59"/>
      <c r="H361" s="52"/>
    </row>
    <row r="362">
      <c r="B362" s="50"/>
      <c r="C362" s="59"/>
      <c r="H362" s="52"/>
    </row>
    <row r="363">
      <c r="B363" s="50"/>
      <c r="C363" s="59"/>
      <c r="H363" s="52"/>
    </row>
    <row r="364">
      <c r="B364" s="50"/>
      <c r="C364" s="59"/>
      <c r="H364" s="52"/>
    </row>
    <row r="365">
      <c r="B365" s="50"/>
      <c r="C365" s="59"/>
      <c r="H365" s="52"/>
    </row>
    <row r="366">
      <c r="B366" s="50"/>
      <c r="C366" s="59"/>
      <c r="H366" s="52"/>
    </row>
    <row r="367">
      <c r="B367" s="50"/>
      <c r="C367" s="59"/>
      <c r="H367" s="52"/>
    </row>
    <row r="368">
      <c r="B368" s="50"/>
      <c r="C368" s="59"/>
      <c r="H368" s="52"/>
    </row>
    <row r="369">
      <c r="B369" s="50"/>
      <c r="C369" s="59"/>
      <c r="H369" s="52"/>
    </row>
    <row r="370">
      <c r="B370" s="50"/>
      <c r="C370" s="59"/>
      <c r="H370" s="52"/>
    </row>
    <row r="371">
      <c r="B371" s="50"/>
      <c r="C371" s="59"/>
      <c r="H371" s="52"/>
    </row>
    <row r="372">
      <c r="B372" s="50"/>
      <c r="C372" s="59"/>
      <c r="H372" s="52"/>
    </row>
    <row r="373">
      <c r="B373" s="50"/>
      <c r="C373" s="59"/>
      <c r="H373" s="52"/>
    </row>
    <row r="374">
      <c r="B374" s="50"/>
      <c r="C374" s="59"/>
      <c r="H374" s="52"/>
    </row>
    <row r="375">
      <c r="B375" s="50"/>
      <c r="C375" s="59"/>
      <c r="H375" s="52"/>
    </row>
    <row r="376">
      <c r="B376" s="50"/>
      <c r="C376" s="59"/>
      <c r="H376" s="52"/>
    </row>
    <row r="377">
      <c r="B377" s="50"/>
      <c r="C377" s="59"/>
      <c r="H377" s="52"/>
    </row>
    <row r="378">
      <c r="B378" s="50"/>
      <c r="C378" s="59"/>
      <c r="H378" s="52"/>
    </row>
    <row r="379">
      <c r="B379" s="50"/>
      <c r="C379" s="59"/>
      <c r="H379" s="52"/>
    </row>
    <row r="380">
      <c r="B380" s="50"/>
      <c r="C380" s="59"/>
      <c r="H380" s="52"/>
    </row>
    <row r="381">
      <c r="B381" s="50"/>
      <c r="C381" s="59"/>
      <c r="H381" s="52"/>
    </row>
    <row r="382">
      <c r="B382" s="50"/>
      <c r="C382" s="59"/>
      <c r="H382" s="52"/>
    </row>
    <row r="383">
      <c r="B383" s="50"/>
      <c r="C383" s="59"/>
      <c r="H383" s="52"/>
    </row>
    <row r="384">
      <c r="B384" s="50"/>
      <c r="C384" s="59"/>
      <c r="H384" s="52"/>
    </row>
    <row r="385">
      <c r="B385" s="50"/>
      <c r="C385" s="59"/>
      <c r="H385" s="52"/>
    </row>
    <row r="386">
      <c r="B386" s="50"/>
      <c r="C386" s="59"/>
      <c r="H386" s="52"/>
    </row>
    <row r="387">
      <c r="B387" s="50"/>
      <c r="C387" s="59"/>
      <c r="H387" s="52"/>
    </row>
    <row r="388">
      <c r="B388" s="50"/>
      <c r="C388" s="59"/>
      <c r="H388" s="52"/>
    </row>
    <row r="389">
      <c r="B389" s="50"/>
      <c r="C389" s="59"/>
      <c r="H389" s="52"/>
    </row>
    <row r="390">
      <c r="B390" s="50"/>
      <c r="C390" s="59"/>
      <c r="H390" s="52"/>
    </row>
    <row r="391">
      <c r="B391" s="50"/>
      <c r="C391" s="59"/>
      <c r="H391" s="52"/>
    </row>
    <row r="392">
      <c r="B392" s="50"/>
      <c r="C392" s="59"/>
      <c r="H392" s="52"/>
    </row>
    <row r="393">
      <c r="B393" s="50"/>
      <c r="C393" s="59"/>
      <c r="H393" s="52"/>
    </row>
    <row r="394">
      <c r="B394" s="50"/>
      <c r="C394" s="59"/>
      <c r="H394" s="52"/>
    </row>
    <row r="395">
      <c r="B395" s="50"/>
      <c r="C395" s="59"/>
      <c r="H395" s="52"/>
    </row>
    <row r="396">
      <c r="B396" s="50"/>
      <c r="C396" s="59"/>
      <c r="H396" s="52"/>
    </row>
    <row r="397">
      <c r="B397" s="50"/>
      <c r="C397" s="59"/>
      <c r="H397" s="52"/>
    </row>
    <row r="398">
      <c r="B398" s="50"/>
      <c r="C398" s="59"/>
      <c r="H398" s="52"/>
    </row>
    <row r="399">
      <c r="B399" s="50"/>
      <c r="C399" s="59"/>
      <c r="H399" s="52"/>
    </row>
    <row r="400">
      <c r="B400" s="50"/>
      <c r="C400" s="59"/>
      <c r="H400" s="52"/>
    </row>
    <row r="401">
      <c r="B401" s="50"/>
      <c r="C401" s="59"/>
      <c r="H401" s="52"/>
    </row>
    <row r="402">
      <c r="B402" s="50"/>
      <c r="C402" s="59"/>
      <c r="H402" s="52"/>
    </row>
    <row r="403">
      <c r="B403" s="50"/>
      <c r="C403" s="59"/>
      <c r="H403" s="52"/>
    </row>
    <row r="404">
      <c r="B404" s="50"/>
      <c r="C404" s="59"/>
      <c r="H404" s="52"/>
    </row>
    <row r="405">
      <c r="B405" s="50"/>
      <c r="C405" s="59"/>
      <c r="H405" s="52"/>
    </row>
    <row r="406">
      <c r="B406" s="50"/>
      <c r="C406" s="59"/>
      <c r="H406" s="52"/>
    </row>
    <row r="407">
      <c r="B407" s="50"/>
      <c r="C407" s="59"/>
      <c r="H407" s="52"/>
    </row>
    <row r="408">
      <c r="B408" s="50"/>
      <c r="C408" s="59"/>
      <c r="H408" s="52"/>
    </row>
    <row r="409">
      <c r="B409" s="50"/>
      <c r="C409" s="59"/>
      <c r="H409" s="52"/>
    </row>
    <row r="410">
      <c r="B410" s="50"/>
      <c r="C410" s="59"/>
      <c r="H410" s="52"/>
    </row>
    <row r="411">
      <c r="B411" s="50"/>
      <c r="C411" s="59"/>
      <c r="H411" s="52"/>
    </row>
    <row r="412">
      <c r="B412" s="50"/>
      <c r="C412" s="59"/>
      <c r="H412" s="52"/>
    </row>
    <row r="413">
      <c r="B413" s="50"/>
      <c r="C413" s="59"/>
      <c r="H413" s="52"/>
    </row>
    <row r="414">
      <c r="B414" s="50"/>
      <c r="C414" s="59"/>
      <c r="H414" s="52"/>
    </row>
    <row r="415">
      <c r="B415" s="50"/>
      <c r="C415" s="59"/>
      <c r="H415" s="52"/>
    </row>
    <row r="416">
      <c r="B416" s="50"/>
      <c r="C416" s="59"/>
      <c r="H416" s="52"/>
    </row>
    <row r="417">
      <c r="B417" s="50"/>
      <c r="C417" s="59"/>
      <c r="H417" s="52"/>
    </row>
    <row r="418">
      <c r="B418" s="50"/>
      <c r="C418" s="59"/>
      <c r="H418" s="52"/>
    </row>
    <row r="419">
      <c r="B419" s="50"/>
      <c r="C419" s="59"/>
      <c r="H419" s="52"/>
    </row>
    <row r="420">
      <c r="B420" s="50"/>
      <c r="C420" s="59"/>
      <c r="H420" s="52"/>
    </row>
    <row r="421">
      <c r="B421" s="50"/>
      <c r="C421" s="59"/>
      <c r="H421" s="52"/>
    </row>
    <row r="422">
      <c r="B422" s="50"/>
      <c r="C422" s="59"/>
      <c r="H422" s="52"/>
    </row>
    <row r="423">
      <c r="B423" s="50"/>
      <c r="C423" s="59"/>
      <c r="H423" s="52"/>
    </row>
    <row r="424">
      <c r="B424" s="50"/>
      <c r="C424" s="59"/>
      <c r="H424" s="52"/>
    </row>
    <row r="425">
      <c r="B425" s="50"/>
      <c r="C425" s="59"/>
      <c r="H425" s="52"/>
    </row>
    <row r="426">
      <c r="B426" s="50"/>
      <c r="C426" s="59"/>
      <c r="H426" s="52"/>
    </row>
    <row r="427">
      <c r="B427" s="50"/>
      <c r="C427" s="59"/>
      <c r="H427" s="52"/>
    </row>
    <row r="428">
      <c r="B428" s="50"/>
      <c r="C428" s="59"/>
      <c r="H428" s="52"/>
    </row>
    <row r="429">
      <c r="B429" s="50"/>
      <c r="C429" s="59"/>
      <c r="H429" s="52"/>
    </row>
    <row r="430">
      <c r="B430" s="50"/>
      <c r="C430" s="59"/>
      <c r="H430" s="52"/>
    </row>
    <row r="431">
      <c r="B431" s="50"/>
      <c r="C431" s="59"/>
      <c r="H431" s="52"/>
    </row>
    <row r="432">
      <c r="B432" s="50"/>
      <c r="C432" s="59"/>
      <c r="H432" s="52"/>
    </row>
    <row r="433">
      <c r="B433" s="50"/>
      <c r="C433" s="59"/>
      <c r="H433" s="52"/>
    </row>
    <row r="434">
      <c r="B434" s="50"/>
      <c r="C434" s="59"/>
      <c r="H434" s="52"/>
    </row>
    <row r="435">
      <c r="B435" s="50"/>
      <c r="C435" s="59"/>
      <c r="H435" s="52"/>
    </row>
    <row r="436">
      <c r="B436" s="50"/>
      <c r="C436" s="59"/>
      <c r="H436" s="52"/>
    </row>
    <row r="437">
      <c r="B437" s="50"/>
      <c r="C437" s="59"/>
      <c r="H437" s="52"/>
    </row>
    <row r="438">
      <c r="B438" s="50"/>
      <c r="C438" s="59"/>
      <c r="H438" s="52"/>
    </row>
    <row r="439">
      <c r="B439" s="50"/>
      <c r="C439" s="59"/>
      <c r="H439" s="52"/>
    </row>
    <row r="440">
      <c r="B440" s="50"/>
      <c r="C440" s="59"/>
      <c r="H440" s="52"/>
    </row>
    <row r="441">
      <c r="B441" s="50"/>
      <c r="C441" s="59"/>
      <c r="H441" s="52"/>
    </row>
    <row r="442">
      <c r="B442" s="50"/>
      <c r="C442" s="59"/>
      <c r="H442" s="52"/>
    </row>
    <row r="443">
      <c r="B443" s="50"/>
      <c r="C443" s="59"/>
      <c r="H443" s="52"/>
    </row>
    <row r="444">
      <c r="B444" s="50"/>
      <c r="C444" s="59"/>
      <c r="H444" s="52"/>
    </row>
    <row r="445">
      <c r="B445" s="50"/>
      <c r="C445" s="59"/>
      <c r="H445" s="52"/>
    </row>
    <row r="446">
      <c r="B446" s="50"/>
      <c r="C446" s="59"/>
      <c r="H446" s="52"/>
    </row>
    <row r="447">
      <c r="B447" s="50"/>
      <c r="C447" s="59"/>
      <c r="H447" s="52"/>
    </row>
    <row r="448">
      <c r="B448" s="50"/>
      <c r="C448" s="59"/>
      <c r="H448" s="52"/>
    </row>
    <row r="449">
      <c r="B449" s="50"/>
      <c r="C449" s="59"/>
      <c r="H449" s="52"/>
    </row>
    <row r="450">
      <c r="B450" s="50"/>
      <c r="C450" s="59"/>
      <c r="H450" s="52"/>
    </row>
    <row r="451">
      <c r="B451" s="50"/>
      <c r="C451" s="59"/>
      <c r="H451" s="52"/>
    </row>
    <row r="452">
      <c r="B452" s="50"/>
      <c r="C452" s="59"/>
      <c r="H452" s="52"/>
    </row>
    <row r="453">
      <c r="B453" s="50"/>
      <c r="C453" s="59"/>
      <c r="H453" s="52"/>
    </row>
    <row r="454">
      <c r="B454" s="50"/>
      <c r="C454" s="59"/>
      <c r="H454" s="52"/>
    </row>
    <row r="455">
      <c r="B455" s="50"/>
      <c r="C455" s="59"/>
      <c r="H455" s="52"/>
    </row>
    <row r="456">
      <c r="B456" s="50"/>
      <c r="C456" s="59"/>
      <c r="H456" s="52"/>
    </row>
    <row r="457">
      <c r="B457" s="50"/>
      <c r="C457" s="59"/>
      <c r="H457" s="52"/>
    </row>
    <row r="458">
      <c r="B458" s="50"/>
      <c r="C458" s="59"/>
      <c r="H458" s="52"/>
    </row>
    <row r="459">
      <c r="B459" s="50"/>
      <c r="C459" s="59"/>
      <c r="H459" s="52"/>
    </row>
    <row r="460">
      <c r="B460" s="50"/>
      <c r="C460" s="59"/>
      <c r="H460" s="52"/>
    </row>
    <row r="461">
      <c r="B461" s="50"/>
      <c r="C461" s="59"/>
      <c r="H461" s="52"/>
    </row>
    <row r="462">
      <c r="B462" s="50"/>
      <c r="C462" s="59"/>
      <c r="H462" s="52"/>
    </row>
    <row r="463">
      <c r="B463" s="50"/>
      <c r="C463" s="59"/>
      <c r="H463" s="52"/>
    </row>
    <row r="464">
      <c r="B464" s="50"/>
      <c r="C464" s="59"/>
      <c r="H464" s="52"/>
    </row>
    <row r="465">
      <c r="B465" s="50"/>
      <c r="C465" s="59"/>
      <c r="H465" s="52"/>
    </row>
    <row r="466">
      <c r="B466" s="50"/>
      <c r="C466" s="59"/>
      <c r="H466" s="52"/>
    </row>
    <row r="467">
      <c r="B467" s="50"/>
      <c r="C467" s="59"/>
      <c r="H467" s="52"/>
    </row>
    <row r="468">
      <c r="B468" s="50"/>
      <c r="C468" s="59"/>
      <c r="H468" s="52"/>
    </row>
    <row r="469">
      <c r="B469" s="50"/>
      <c r="C469" s="59"/>
      <c r="H469" s="52"/>
    </row>
    <row r="470">
      <c r="B470" s="50"/>
      <c r="C470" s="59"/>
      <c r="H470" s="52"/>
    </row>
    <row r="471">
      <c r="B471" s="50"/>
      <c r="C471" s="59"/>
      <c r="H471" s="52"/>
    </row>
    <row r="472">
      <c r="B472" s="50"/>
      <c r="C472" s="59"/>
      <c r="H472" s="52"/>
    </row>
    <row r="473">
      <c r="B473" s="50"/>
      <c r="C473" s="59"/>
      <c r="H473" s="52"/>
    </row>
    <row r="474">
      <c r="B474" s="50"/>
      <c r="C474" s="59"/>
      <c r="H474" s="52"/>
    </row>
    <row r="475">
      <c r="B475" s="50"/>
      <c r="C475" s="59"/>
      <c r="H475" s="52"/>
    </row>
    <row r="476">
      <c r="B476" s="50"/>
      <c r="C476" s="59"/>
      <c r="H476" s="52"/>
    </row>
    <row r="477">
      <c r="B477" s="50"/>
      <c r="C477" s="59"/>
      <c r="H477" s="52"/>
    </row>
    <row r="478">
      <c r="B478" s="50"/>
      <c r="C478" s="59"/>
      <c r="H478" s="52"/>
    </row>
    <row r="479">
      <c r="B479" s="50"/>
      <c r="C479" s="59"/>
      <c r="H479" s="52"/>
    </row>
    <row r="480">
      <c r="B480" s="50"/>
      <c r="C480" s="59"/>
      <c r="H480" s="52"/>
    </row>
    <row r="481">
      <c r="B481" s="50"/>
      <c r="C481" s="59"/>
      <c r="H481" s="52"/>
    </row>
    <row r="482">
      <c r="B482" s="50"/>
      <c r="C482" s="59"/>
      <c r="H482" s="52"/>
    </row>
    <row r="483">
      <c r="B483" s="50"/>
      <c r="C483" s="59"/>
      <c r="H483" s="52"/>
    </row>
    <row r="484">
      <c r="B484" s="50"/>
      <c r="C484" s="59"/>
      <c r="H484" s="52"/>
    </row>
    <row r="485">
      <c r="B485" s="50"/>
      <c r="C485" s="59"/>
      <c r="H485" s="52"/>
    </row>
    <row r="486">
      <c r="B486" s="50"/>
      <c r="C486" s="59"/>
      <c r="H486" s="52"/>
    </row>
    <row r="487">
      <c r="B487" s="50"/>
      <c r="C487" s="59"/>
      <c r="H487" s="52"/>
    </row>
    <row r="488">
      <c r="B488" s="50"/>
      <c r="C488" s="59"/>
      <c r="H488" s="52"/>
    </row>
    <row r="489">
      <c r="B489" s="50"/>
      <c r="C489" s="59"/>
      <c r="H489" s="52"/>
    </row>
    <row r="490">
      <c r="B490" s="50"/>
      <c r="C490" s="59"/>
      <c r="H490" s="52"/>
    </row>
    <row r="491">
      <c r="B491" s="50"/>
      <c r="C491" s="59"/>
      <c r="H491" s="52"/>
    </row>
    <row r="492">
      <c r="B492" s="50"/>
      <c r="C492" s="59"/>
      <c r="H492" s="52"/>
    </row>
    <row r="493">
      <c r="B493" s="50"/>
      <c r="C493" s="59"/>
      <c r="H493" s="52"/>
    </row>
    <row r="494">
      <c r="B494" s="50"/>
      <c r="C494" s="59"/>
      <c r="H494" s="52"/>
    </row>
    <row r="495">
      <c r="B495" s="50"/>
      <c r="C495" s="59"/>
      <c r="H495" s="52"/>
    </row>
    <row r="496">
      <c r="B496" s="50"/>
      <c r="C496" s="59"/>
      <c r="H496" s="52"/>
    </row>
    <row r="497">
      <c r="B497" s="50"/>
      <c r="C497" s="59"/>
      <c r="H497" s="52"/>
    </row>
    <row r="498">
      <c r="B498" s="50"/>
      <c r="C498" s="59"/>
      <c r="H498" s="52"/>
    </row>
    <row r="499">
      <c r="B499" s="50"/>
      <c r="C499" s="59"/>
      <c r="H499" s="52"/>
    </row>
    <row r="500">
      <c r="B500" s="50"/>
      <c r="C500" s="59"/>
      <c r="H500" s="52"/>
    </row>
    <row r="501">
      <c r="B501" s="50"/>
      <c r="C501" s="59"/>
      <c r="H501" s="52"/>
    </row>
    <row r="502">
      <c r="B502" s="50"/>
      <c r="C502" s="59"/>
      <c r="H502" s="52"/>
    </row>
    <row r="503">
      <c r="B503" s="50"/>
      <c r="C503" s="59"/>
      <c r="H503" s="52"/>
    </row>
    <row r="504">
      <c r="B504" s="50"/>
      <c r="C504" s="59"/>
      <c r="H504" s="52"/>
    </row>
    <row r="505">
      <c r="B505" s="50"/>
      <c r="C505" s="59"/>
      <c r="H505" s="52"/>
    </row>
    <row r="506">
      <c r="B506" s="50"/>
      <c r="C506" s="59"/>
      <c r="H506" s="52"/>
    </row>
    <row r="507">
      <c r="B507" s="50"/>
      <c r="C507" s="59"/>
      <c r="H507" s="52"/>
    </row>
    <row r="508">
      <c r="B508" s="50"/>
      <c r="C508" s="59"/>
      <c r="H508" s="52"/>
    </row>
    <row r="509">
      <c r="B509" s="50"/>
      <c r="C509" s="59"/>
      <c r="H509" s="52"/>
    </row>
    <row r="510">
      <c r="B510" s="50"/>
      <c r="C510" s="59"/>
      <c r="H510" s="52"/>
    </row>
    <row r="511">
      <c r="B511" s="50"/>
      <c r="C511" s="59"/>
      <c r="H511" s="52"/>
    </row>
    <row r="512">
      <c r="B512" s="50"/>
      <c r="C512" s="59"/>
      <c r="H512" s="52"/>
    </row>
    <row r="513">
      <c r="B513" s="50"/>
      <c r="C513" s="59"/>
      <c r="H513" s="52"/>
    </row>
    <row r="514">
      <c r="B514" s="50"/>
      <c r="C514" s="59"/>
      <c r="H514" s="52"/>
    </row>
    <row r="515">
      <c r="B515" s="50"/>
      <c r="C515" s="59"/>
      <c r="H515" s="52"/>
    </row>
    <row r="516">
      <c r="B516" s="50"/>
      <c r="C516" s="59"/>
      <c r="H516" s="52"/>
    </row>
    <row r="517">
      <c r="B517" s="50"/>
      <c r="C517" s="59"/>
      <c r="H517" s="52"/>
    </row>
    <row r="518">
      <c r="B518" s="50"/>
      <c r="C518" s="59"/>
      <c r="H518" s="52"/>
    </row>
    <row r="519">
      <c r="B519" s="50"/>
      <c r="C519" s="59"/>
      <c r="H519" s="52"/>
    </row>
    <row r="520">
      <c r="B520" s="50"/>
      <c r="C520" s="59"/>
      <c r="H520" s="52"/>
    </row>
    <row r="521">
      <c r="B521" s="50"/>
      <c r="C521" s="59"/>
      <c r="H521" s="52"/>
    </row>
    <row r="522">
      <c r="B522" s="50"/>
      <c r="C522" s="59"/>
      <c r="H522" s="52"/>
    </row>
    <row r="523">
      <c r="B523" s="50"/>
      <c r="C523" s="59"/>
      <c r="H523" s="52"/>
    </row>
    <row r="524">
      <c r="B524" s="50"/>
      <c r="C524" s="59"/>
      <c r="H524" s="52"/>
    </row>
    <row r="525">
      <c r="B525" s="50"/>
      <c r="C525" s="59"/>
      <c r="H525" s="52"/>
    </row>
    <row r="526">
      <c r="B526" s="50"/>
      <c r="C526" s="59"/>
      <c r="H526" s="52"/>
    </row>
    <row r="527">
      <c r="B527" s="50"/>
      <c r="C527" s="59"/>
      <c r="H527" s="52"/>
    </row>
    <row r="528">
      <c r="B528" s="50"/>
      <c r="C528" s="59"/>
      <c r="H528" s="52"/>
    </row>
    <row r="529">
      <c r="B529" s="50"/>
      <c r="C529" s="59"/>
      <c r="H529" s="52"/>
    </row>
    <row r="530">
      <c r="B530" s="50"/>
      <c r="C530" s="59"/>
      <c r="H530" s="52"/>
    </row>
    <row r="531">
      <c r="B531" s="50"/>
      <c r="C531" s="59"/>
      <c r="H531" s="52"/>
    </row>
    <row r="532">
      <c r="B532" s="50"/>
      <c r="C532" s="59"/>
      <c r="H532" s="52"/>
    </row>
    <row r="533">
      <c r="B533" s="50"/>
      <c r="C533" s="59"/>
      <c r="H533" s="52"/>
    </row>
    <row r="534">
      <c r="B534" s="50"/>
      <c r="C534" s="59"/>
      <c r="H534" s="52"/>
    </row>
    <row r="535">
      <c r="B535" s="50"/>
      <c r="C535" s="59"/>
      <c r="H535" s="52"/>
    </row>
    <row r="536">
      <c r="B536" s="50"/>
      <c r="C536" s="59"/>
      <c r="H536" s="52"/>
    </row>
    <row r="537">
      <c r="B537" s="50"/>
      <c r="C537" s="59"/>
      <c r="H537" s="52"/>
    </row>
    <row r="538">
      <c r="B538" s="50"/>
      <c r="C538" s="59"/>
      <c r="H538" s="52"/>
    </row>
    <row r="539">
      <c r="B539" s="50"/>
      <c r="C539" s="59"/>
      <c r="H539" s="52"/>
    </row>
    <row r="540">
      <c r="B540" s="50"/>
      <c r="C540" s="59"/>
      <c r="H540" s="52"/>
    </row>
    <row r="541">
      <c r="B541" s="50"/>
      <c r="C541" s="59"/>
      <c r="H541" s="52"/>
    </row>
    <row r="542">
      <c r="B542" s="50"/>
      <c r="C542" s="59"/>
      <c r="H542" s="52"/>
    </row>
    <row r="543">
      <c r="B543" s="50"/>
      <c r="C543" s="59"/>
      <c r="H543" s="52"/>
    </row>
    <row r="544">
      <c r="B544" s="50"/>
      <c r="C544" s="59"/>
      <c r="H544" s="52"/>
    </row>
    <row r="545">
      <c r="B545" s="50"/>
      <c r="C545" s="59"/>
      <c r="H545" s="52"/>
    </row>
    <row r="546">
      <c r="B546" s="50"/>
      <c r="C546" s="59"/>
      <c r="H546" s="52"/>
    </row>
    <row r="547">
      <c r="B547" s="50"/>
      <c r="C547" s="59"/>
      <c r="H547" s="52"/>
    </row>
    <row r="548">
      <c r="B548" s="50"/>
      <c r="C548" s="59"/>
      <c r="H548" s="52"/>
    </row>
    <row r="549">
      <c r="B549" s="50"/>
      <c r="C549" s="59"/>
      <c r="H549" s="52"/>
    </row>
    <row r="550">
      <c r="B550" s="50"/>
      <c r="C550" s="59"/>
      <c r="H550" s="52"/>
    </row>
    <row r="551">
      <c r="B551" s="50"/>
      <c r="C551" s="59"/>
      <c r="H551" s="52"/>
    </row>
    <row r="552">
      <c r="B552" s="50"/>
      <c r="C552" s="59"/>
      <c r="H552" s="52"/>
    </row>
    <row r="553">
      <c r="B553" s="50"/>
      <c r="C553" s="59"/>
      <c r="H553" s="52"/>
    </row>
    <row r="554">
      <c r="B554" s="50"/>
      <c r="C554" s="59"/>
      <c r="H554" s="52"/>
    </row>
    <row r="555">
      <c r="B555" s="50"/>
      <c r="C555" s="59"/>
      <c r="H555" s="52"/>
    </row>
    <row r="556">
      <c r="B556" s="50"/>
      <c r="C556" s="59"/>
      <c r="H556" s="52"/>
    </row>
    <row r="557">
      <c r="B557" s="50"/>
      <c r="C557" s="59"/>
      <c r="H557" s="52"/>
    </row>
    <row r="558">
      <c r="B558" s="50"/>
      <c r="C558" s="59"/>
      <c r="H558" s="52"/>
    </row>
    <row r="559">
      <c r="B559" s="50"/>
      <c r="C559" s="59"/>
      <c r="H559" s="52"/>
    </row>
    <row r="560">
      <c r="B560" s="50"/>
      <c r="C560" s="59"/>
      <c r="H560" s="52"/>
    </row>
    <row r="561">
      <c r="B561" s="50"/>
      <c r="C561" s="59"/>
      <c r="H561" s="52"/>
    </row>
    <row r="562">
      <c r="B562" s="50"/>
      <c r="C562" s="59"/>
      <c r="H562" s="52"/>
    </row>
    <row r="563">
      <c r="B563" s="50"/>
      <c r="C563" s="59"/>
      <c r="H563" s="52"/>
    </row>
    <row r="564">
      <c r="B564" s="50"/>
      <c r="C564" s="59"/>
      <c r="H564" s="52"/>
    </row>
    <row r="565">
      <c r="B565" s="50"/>
      <c r="C565" s="59"/>
      <c r="H565" s="52"/>
    </row>
    <row r="566">
      <c r="B566" s="50"/>
      <c r="C566" s="59"/>
      <c r="H566" s="52"/>
    </row>
    <row r="567">
      <c r="B567" s="50"/>
      <c r="C567" s="59"/>
      <c r="H567" s="52"/>
    </row>
    <row r="568">
      <c r="B568" s="50"/>
      <c r="C568" s="59"/>
      <c r="H568" s="52"/>
    </row>
    <row r="569">
      <c r="B569" s="50"/>
      <c r="C569" s="59"/>
      <c r="H569" s="52"/>
    </row>
    <row r="570">
      <c r="B570" s="50"/>
      <c r="C570" s="59"/>
      <c r="H570" s="52"/>
    </row>
    <row r="571">
      <c r="B571" s="50"/>
      <c r="C571" s="59"/>
      <c r="H571" s="52"/>
    </row>
    <row r="572">
      <c r="B572" s="50"/>
      <c r="C572" s="59"/>
      <c r="H572" s="52"/>
    </row>
    <row r="573">
      <c r="B573" s="50"/>
      <c r="C573" s="59"/>
      <c r="H573" s="52"/>
    </row>
    <row r="574">
      <c r="B574" s="50"/>
      <c r="C574" s="59"/>
      <c r="H574" s="52"/>
    </row>
    <row r="575">
      <c r="B575" s="50"/>
      <c r="C575" s="59"/>
      <c r="H575" s="52"/>
    </row>
    <row r="576">
      <c r="B576" s="50"/>
      <c r="C576" s="59"/>
      <c r="H576" s="52"/>
    </row>
    <row r="577">
      <c r="B577" s="50"/>
      <c r="C577" s="59"/>
      <c r="H577" s="52"/>
    </row>
    <row r="578">
      <c r="B578" s="50"/>
      <c r="C578" s="59"/>
      <c r="H578" s="52"/>
    </row>
    <row r="579">
      <c r="B579" s="50"/>
      <c r="C579" s="59"/>
      <c r="H579" s="52"/>
    </row>
    <row r="580">
      <c r="B580" s="50"/>
      <c r="C580" s="59"/>
      <c r="H580" s="52"/>
    </row>
    <row r="581">
      <c r="B581" s="50"/>
      <c r="C581" s="59"/>
      <c r="H581" s="52"/>
    </row>
    <row r="582">
      <c r="B582" s="50"/>
      <c r="C582" s="59"/>
      <c r="H582" s="52"/>
    </row>
    <row r="583">
      <c r="B583" s="50"/>
      <c r="C583" s="59"/>
      <c r="H583" s="52"/>
    </row>
    <row r="584">
      <c r="B584" s="50"/>
      <c r="C584" s="59"/>
      <c r="H584" s="52"/>
    </row>
    <row r="585">
      <c r="B585" s="50"/>
      <c r="C585" s="59"/>
      <c r="H585" s="52"/>
    </row>
    <row r="586">
      <c r="B586" s="50"/>
      <c r="C586" s="59"/>
      <c r="H586" s="52"/>
    </row>
    <row r="587">
      <c r="B587" s="50"/>
      <c r="C587" s="59"/>
      <c r="H587" s="52"/>
    </row>
    <row r="588">
      <c r="B588" s="50"/>
      <c r="C588" s="59"/>
      <c r="H588" s="52"/>
    </row>
    <row r="589">
      <c r="B589" s="50"/>
      <c r="C589" s="59"/>
      <c r="H589" s="52"/>
    </row>
    <row r="590">
      <c r="B590" s="50"/>
      <c r="C590" s="59"/>
      <c r="H590" s="52"/>
    </row>
    <row r="591">
      <c r="B591" s="50"/>
      <c r="C591" s="59"/>
      <c r="H591" s="52"/>
    </row>
    <row r="592">
      <c r="B592" s="50"/>
      <c r="C592" s="59"/>
      <c r="H592" s="52"/>
    </row>
    <row r="593">
      <c r="B593" s="50"/>
      <c r="C593" s="59"/>
      <c r="H593" s="52"/>
    </row>
    <row r="594">
      <c r="B594" s="50"/>
      <c r="C594" s="59"/>
      <c r="H594" s="52"/>
    </row>
    <row r="595">
      <c r="B595" s="50"/>
      <c r="C595" s="59"/>
      <c r="H595" s="52"/>
    </row>
    <row r="596">
      <c r="B596" s="50"/>
      <c r="C596" s="59"/>
      <c r="H596" s="52"/>
    </row>
    <row r="597">
      <c r="B597" s="50"/>
      <c r="C597" s="59"/>
      <c r="H597" s="52"/>
    </row>
    <row r="598">
      <c r="B598" s="50"/>
      <c r="C598" s="59"/>
      <c r="H598" s="52"/>
    </row>
    <row r="599">
      <c r="B599" s="50"/>
      <c r="C599" s="59"/>
      <c r="H599" s="52"/>
    </row>
    <row r="600">
      <c r="B600" s="50"/>
      <c r="C600" s="59"/>
      <c r="H600" s="52"/>
    </row>
    <row r="601">
      <c r="B601" s="50"/>
      <c r="C601" s="59"/>
      <c r="H601" s="52"/>
    </row>
    <row r="602">
      <c r="B602" s="50"/>
      <c r="C602" s="59"/>
      <c r="H602" s="52"/>
    </row>
    <row r="603">
      <c r="B603" s="50"/>
      <c r="C603" s="59"/>
      <c r="H603" s="52"/>
    </row>
    <row r="604">
      <c r="B604" s="50"/>
      <c r="C604" s="59"/>
      <c r="H604" s="52"/>
    </row>
    <row r="605">
      <c r="B605" s="50"/>
      <c r="C605" s="59"/>
      <c r="H605" s="52"/>
    </row>
    <row r="606">
      <c r="B606" s="50"/>
      <c r="C606" s="59"/>
      <c r="H606" s="52"/>
    </row>
    <row r="607">
      <c r="B607" s="50"/>
      <c r="C607" s="59"/>
      <c r="H607" s="52"/>
    </row>
    <row r="608">
      <c r="B608" s="50"/>
      <c r="C608" s="59"/>
      <c r="H608" s="52"/>
    </row>
    <row r="609">
      <c r="B609" s="50"/>
      <c r="C609" s="59"/>
      <c r="H609" s="52"/>
    </row>
    <row r="610">
      <c r="B610" s="50"/>
      <c r="C610" s="59"/>
      <c r="H610" s="52"/>
    </row>
    <row r="611">
      <c r="B611" s="50"/>
      <c r="C611" s="59"/>
      <c r="H611" s="52"/>
    </row>
    <row r="612">
      <c r="B612" s="50"/>
      <c r="C612" s="59"/>
      <c r="H612" s="52"/>
    </row>
    <row r="613">
      <c r="B613" s="50"/>
      <c r="C613" s="59"/>
      <c r="H613" s="52"/>
    </row>
    <row r="614">
      <c r="B614" s="50"/>
      <c r="C614" s="59"/>
      <c r="H614" s="52"/>
    </row>
    <row r="615">
      <c r="B615" s="50"/>
      <c r="C615" s="59"/>
      <c r="H615" s="52"/>
    </row>
    <row r="616">
      <c r="B616" s="50"/>
      <c r="C616" s="59"/>
      <c r="H616" s="52"/>
    </row>
    <row r="617">
      <c r="B617" s="50"/>
      <c r="C617" s="59"/>
      <c r="H617" s="52"/>
    </row>
    <row r="618">
      <c r="B618" s="50"/>
      <c r="C618" s="59"/>
      <c r="H618" s="52"/>
    </row>
    <row r="619">
      <c r="B619" s="50"/>
      <c r="C619" s="59"/>
      <c r="H619" s="52"/>
    </row>
    <row r="620">
      <c r="B620" s="50"/>
      <c r="C620" s="59"/>
      <c r="H620" s="52"/>
    </row>
    <row r="621">
      <c r="B621" s="50"/>
      <c r="C621" s="59"/>
      <c r="H621" s="52"/>
    </row>
    <row r="622">
      <c r="B622" s="50"/>
      <c r="C622" s="59"/>
      <c r="H622" s="52"/>
    </row>
    <row r="623">
      <c r="B623" s="50"/>
      <c r="C623" s="59"/>
      <c r="H623" s="52"/>
    </row>
    <row r="624">
      <c r="B624" s="50"/>
      <c r="C624" s="59"/>
      <c r="H624" s="52"/>
    </row>
    <row r="625">
      <c r="B625" s="50"/>
      <c r="C625" s="59"/>
      <c r="H625" s="52"/>
    </row>
    <row r="626">
      <c r="B626" s="50"/>
      <c r="C626" s="59"/>
      <c r="H626" s="52"/>
    </row>
    <row r="627">
      <c r="B627" s="50"/>
      <c r="C627" s="59"/>
      <c r="H627" s="52"/>
    </row>
    <row r="628">
      <c r="B628" s="50"/>
      <c r="C628" s="59"/>
      <c r="H628" s="52"/>
    </row>
    <row r="629">
      <c r="B629" s="50"/>
      <c r="C629" s="59"/>
      <c r="H629" s="52"/>
    </row>
    <row r="630">
      <c r="B630" s="50"/>
      <c r="C630" s="59"/>
      <c r="H630" s="52"/>
    </row>
    <row r="631">
      <c r="B631" s="50"/>
      <c r="C631" s="59"/>
      <c r="H631" s="52"/>
    </row>
    <row r="632">
      <c r="B632" s="50"/>
      <c r="C632" s="59"/>
      <c r="H632" s="52"/>
    </row>
    <row r="633">
      <c r="B633" s="50"/>
      <c r="C633" s="59"/>
      <c r="H633" s="52"/>
    </row>
    <row r="634">
      <c r="B634" s="50"/>
      <c r="C634" s="59"/>
      <c r="H634" s="52"/>
    </row>
    <row r="635">
      <c r="B635" s="50"/>
      <c r="C635" s="59"/>
      <c r="H635" s="52"/>
    </row>
    <row r="636">
      <c r="B636" s="50"/>
      <c r="C636" s="59"/>
      <c r="H636" s="52"/>
    </row>
    <row r="637">
      <c r="B637" s="50"/>
      <c r="C637" s="59"/>
      <c r="H637" s="52"/>
    </row>
    <row r="638">
      <c r="B638" s="50"/>
      <c r="C638" s="59"/>
      <c r="H638" s="52"/>
    </row>
    <row r="639">
      <c r="B639" s="50"/>
      <c r="C639" s="59"/>
      <c r="H639" s="52"/>
    </row>
    <row r="640">
      <c r="B640" s="50"/>
      <c r="C640" s="59"/>
      <c r="H640" s="52"/>
    </row>
    <row r="641">
      <c r="B641" s="50"/>
      <c r="C641" s="59"/>
      <c r="H641" s="52"/>
    </row>
    <row r="642">
      <c r="B642" s="50"/>
      <c r="C642" s="59"/>
      <c r="H642" s="52"/>
    </row>
    <row r="643">
      <c r="B643" s="50"/>
      <c r="C643" s="59"/>
      <c r="H643" s="52"/>
    </row>
    <row r="644">
      <c r="B644" s="50"/>
      <c r="C644" s="59"/>
      <c r="H644" s="52"/>
    </row>
    <row r="645">
      <c r="B645" s="50"/>
      <c r="C645" s="59"/>
      <c r="H645" s="52"/>
    </row>
    <row r="646">
      <c r="B646" s="50"/>
      <c r="C646" s="59"/>
      <c r="H646" s="52"/>
    </row>
    <row r="647">
      <c r="B647" s="50"/>
      <c r="C647" s="59"/>
      <c r="H647" s="52"/>
    </row>
    <row r="648">
      <c r="B648" s="50"/>
      <c r="C648" s="59"/>
      <c r="H648" s="52"/>
    </row>
    <row r="649">
      <c r="B649" s="50"/>
      <c r="C649" s="59"/>
      <c r="H649" s="52"/>
    </row>
    <row r="650">
      <c r="B650" s="50"/>
      <c r="C650" s="59"/>
      <c r="H650" s="52"/>
    </row>
    <row r="651">
      <c r="B651" s="50"/>
      <c r="C651" s="59"/>
      <c r="H651" s="52"/>
    </row>
    <row r="652">
      <c r="B652" s="50"/>
      <c r="C652" s="59"/>
      <c r="H652" s="52"/>
    </row>
    <row r="653">
      <c r="B653" s="50"/>
      <c r="C653" s="59"/>
      <c r="H653" s="52"/>
    </row>
    <row r="654">
      <c r="B654" s="50"/>
      <c r="C654" s="59"/>
      <c r="H654" s="52"/>
    </row>
    <row r="655">
      <c r="B655" s="50"/>
      <c r="C655" s="59"/>
      <c r="H655" s="52"/>
    </row>
    <row r="656">
      <c r="B656" s="50"/>
      <c r="C656" s="59"/>
      <c r="H656" s="52"/>
    </row>
    <row r="657">
      <c r="B657" s="50"/>
      <c r="C657" s="59"/>
      <c r="H657" s="52"/>
    </row>
    <row r="658">
      <c r="B658" s="50"/>
      <c r="C658" s="59"/>
      <c r="H658" s="52"/>
    </row>
    <row r="659">
      <c r="B659" s="50"/>
      <c r="C659" s="59"/>
      <c r="H659" s="52"/>
    </row>
    <row r="660">
      <c r="B660" s="50"/>
      <c r="C660" s="59"/>
      <c r="H660" s="52"/>
    </row>
    <row r="661">
      <c r="B661" s="50"/>
      <c r="C661" s="59"/>
      <c r="H661" s="52"/>
    </row>
    <row r="662">
      <c r="B662" s="50"/>
      <c r="C662" s="59"/>
      <c r="H662" s="52"/>
    </row>
    <row r="663">
      <c r="B663" s="50"/>
      <c r="C663" s="59"/>
      <c r="H663" s="52"/>
    </row>
    <row r="664">
      <c r="B664" s="50"/>
      <c r="C664" s="59"/>
      <c r="H664" s="52"/>
    </row>
    <row r="665">
      <c r="B665" s="50"/>
      <c r="C665" s="59"/>
      <c r="H665" s="52"/>
    </row>
    <row r="666">
      <c r="B666" s="50"/>
      <c r="C666" s="59"/>
      <c r="H666" s="52"/>
    </row>
    <row r="667">
      <c r="B667" s="50"/>
      <c r="C667" s="59"/>
      <c r="H667" s="52"/>
    </row>
    <row r="668">
      <c r="B668" s="50"/>
      <c r="C668" s="59"/>
      <c r="H668" s="52"/>
    </row>
    <row r="669">
      <c r="B669" s="50"/>
      <c r="C669" s="59"/>
      <c r="H669" s="52"/>
    </row>
    <row r="670">
      <c r="B670" s="50"/>
      <c r="C670" s="59"/>
      <c r="H670" s="52"/>
    </row>
    <row r="671">
      <c r="B671" s="50"/>
      <c r="C671" s="59"/>
      <c r="H671" s="52"/>
    </row>
    <row r="672">
      <c r="B672" s="50"/>
      <c r="C672" s="59"/>
      <c r="H672" s="52"/>
    </row>
    <row r="673">
      <c r="B673" s="50"/>
      <c r="C673" s="59"/>
      <c r="H673" s="52"/>
    </row>
    <row r="674">
      <c r="B674" s="50"/>
      <c r="C674" s="59"/>
      <c r="H674" s="52"/>
    </row>
    <row r="675">
      <c r="B675" s="50"/>
      <c r="C675" s="59"/>
      <c r="H675" s="52"/>
    </row>
    <row r="676">
      <c r="B676" s="50"/>
      <c r="C676" s="59"/>
      <c r="H676" s="52"/>
    </row>
    <row r="677">
      <c r="B677" s="50"/>
      <c r="C677" s="59"/>
      <c r="H677" s="52"/>
    </row>
    <row r="678">
      <c r="B678" s="50"/>
      <c r="C678" s="59"/>
      <c r="H678" s="52"/>
    </row>
    <row r="679">
      <c r="B679" s="50"/>
      <c r="C679" s="59"/>
      <c r="H679" s="52"/>
    </row>
    <row r="680">
      <c r="B680" s="50"/>
      <c r="C680" s="59"/>
      <c r="H680" s="52"/>
    </row>
    <row r="681">
      <c r="B681" s="50"/>
      <c r="C681" s="59"/>
      <c r="H681" s="52"/>
    </row>
    <row r="682">
      <c r="B682" s="50"/>
      <c r="C682" s="59"/>
      <c r="H682" s="52"/>
    </row>
    <row r="683">
      <c r="B683" s="50"/>
      <c r="C683" s="59"/>
      <c r="H683" s="52"/>
    </row>
    <row r="684">
      <c r="B684" s="50"/>
      <c r="C684" s="59"/>
      <c r="H684" s="52"/>
    </row>
    <row r="685">
      <c r="B685" s="50"/>
      <c r="C685" s="59"/>
      <c r="H685" s="52"/>
    </row>
    <row r="686">
      <c r="B686" s="50"/>
      <c r="C686" s="59"/>
      <c r="H686" s="52"/>
    </row>
    <row r="687">
      <c r="B687" s="50"/>
      <c r="C687" s="59"/>
      <c r="H687" s="52"/>
    </row>
    <row r="688">
      <c r="B688" s="50"/>
      <c r="C688" s="59"/>
      <c r="H688" s="52"/>
    </row>
    <row r="689">
      <c r="B689" s="50"/>
      <c r="C689" s="59"/>
      <c r="H689" s="52"/>
    </row>
    <row r="690">
      <c r="B690" s="50"/>
      <c r="C690" s="59"/>
      <c r="H690" s="52"/>
    </row>
    <row r="691">
      <c r="B691" s="50"/>
      <c r="C691" s="59"/>
      <c r="H691" s="52"/>
    </row>
    <row r="692">
      <c r="B692" s="50"/>
      <c r="C692" s="59"/>
      <c r="H692" s="52"/>
    </row>
    <row r="693">
      <c r="B693" s="50"/>
      <c r="C693" s="59"/>
      <c r="H693" s="52"/>
    </row>
    <row r="694">
      <c r="B694" s="50"/>
      <c r="C694" s="59"/>
      <c r="H694" s="52"/>
    </row>
    <row r="695">
      <c r="B695" s="50"/>
      <c r="C695" s="59"/>
      <c r="H695" s="52"/>
    </row>
    <row r="696">
      <c r="B696" s="50"/>
      <c r="C696" s="59"/>
      <c r="H696" s="52"/>
    </row>
    <row r="697">
      <c r="B697" s="50"/>
      <c r="C697" s="59"/>
      <c r="H697" s="52"/>
    </row>
    <row r="698">
      <c r="B698" s="50"/>
      <c r="C698" s="59"/>
      <c r="H698" s="52"/>
    </row>
    <row r="699">
      <c r="B699" s="50"/>
      <c r="C699" s="59"/>
      <c r="H699" s="52"/>
    </row>
    <row r="700">
      <c r="B700" s="50"/>
      <c r="C700" s="59"/>
      <c r="H700" s="52"/>
    </row>
    <row r="701">
      <c r="B701" s="50"/>
      <c r="C701" s="59"/>
      <c r="H701" s="52"/>
    </row>
    <row r="702">
      <c r="B702" s="50"/>
      <c r="C702" s="59"/>
      <c r="H702" s="52"/>
    </row>
    <row r="703">
      <c r="B703" s="50"/>
      <c r="C703" s="59"/>
      <c r="H703" s="52"/>
    </row>
    <row r="704">
      <c r="B704" s="50"/>
      <c r="C704" s="59"/>
      <c r="H704" s="52"/>
    </row>
    <row r="705">
      <c r="B705" s="50"/>
      <c r="C705" s="59"/>
      <c r="H705" s="52"/>
    </row>
    <row r="706">
      <c r="B706" s="50"/>
      <c r="C706" s="59"/>
      <c r="H706" s="52"/>
    </row>
    <row r="707">
      <c r="B707" s="50"/>
      <c r="C707" s="59"/>
      <c r="H707" s="52"/>
    </row>
    <row r="708">
      <c r="B708" s="50"/>
      <c r="C708" s="59"/>
      <c r="H708" s="52"/>
    </row>
    <row r="709">
      <c r="B709" s="50"/>
      <c r="C709" s="59"/>
      <c r="H709" s="52"/>
    </row>
    <row r="710">
      <c r="B710" s="50"/>
      <c r="C710" s="59"/>
      <c r="H710" s="52"/>
    </row>
    <row r="711">
      <c r="B711" s="50"/>
      <c r="C711" s="59"/>
      <c r="H711" s="52"/>
    </row>
    <row r="712">
      <c r="B712" s="50"/>
      <c r="C712" s="59"/>
      <c r="H712" s="52"/>
    </row>
    <row r="713">
      <c r="B713" s="50"/>
      <c r="C713" s="59"/>
      <c r="H713" s="52"/>
    </row>
    <row r="714">
      <c r="B714" s="50"/>
      <c r="C714" s="59"/>
      <c r="H714" s="52"/>
    </row>
    <row r="715">
      <c r="B715" s="50"/>
      <c r="C715" s="59"/>
      <c r="H715" s="52"/>
    </row>
    <row r="716">
      <c r="B716" s="50"/>
      <c r="C716" s="59"/>
      <c r="H716" s="52"/>
    </row>
    <row r="717">
      <c r="B717" s="50"/>
      <c r="C717" s="59"/>
      <c r="H717" s="52"/>
    </row>
    <row r="718">
      <c r="B718" s="50"/>
      <c r="C718" s="59"/>
      <c r="H718" s="52"/>
    </row>
    <row r="719">
      <c r="B719" s="50"/>
      <c r="C719" s="59"/>
      <c r="H719" s="52"/>
    </row>
    <row r="720">
      <c r="B720" s="50"/>
      <c r="C720" s="59"/>
      <c r="H720" s="52"/>
    </row>
    <row r="721">
      <c r="B721" s="50"/>
      <c r="C721" s="59"/>
      <c r="H721" s="52"/>
    </row>
    <row r="722">
      <c r="B722" s="50"/>
      <c r="C722" s="59"/>
      <c r="H722" s="52"/>
    </row>
    <row r="723">
      <c r="B723" s="50"/>
      <c r="C723" s="59"/>
      <c r="H723" s="52"/>
    </row>
    <row r="724">
      <c r="B724" s="50"/>
      <c r="C724" s="59"/>
      <c r="H724" s="52"/>
    </row>
    <row r="725">
      <c r="B725" s="50"/>
      <c r="C725" s="59"/>
      <c r="H725" s="52"/>
    </row>
    <row r="726">
      <c r="B726" s="50"/>
      <c r="C726" s="59"/>
      <c r="H726" s="52"/>
    </row>
    <row r="727">
      <c r="B727" s="50"/>
      <c r="C727" s="59"/>
      <c r="H727" s="52"/>
    </row>
    <row r="728">
      <c r="B728" s="50"/>
      <c r="C728" s="59"/>
      <c r="H728" s="52"/>
    </row>
    <row r="729">
      <c r="B729" s="50"/>
      <c r="C729" s="59"/>
      <c r="H729" s="52"/>
    </row>
    <row r="730">
      <c r="B730" s="50"/>
      <c r="C730" s="59"/>
      <c r="H730" s="52"/>
    </row>
    <row r="731">
      <c r="B731" s="50"/>
      <c r="C731" s="59"/>
      <c r="H731" s="52"/>
    </row>
    <row r="732">
      <c r="B732" s="50"/>
      <c r="C732" s="59"/>
      <c r="H732" s="52"/>
    </row>
    <row r="733">
      <c r="B733" s="50"/>
      <c r="C733" s="59"/>
      <c r="H733" s="52"/>
    </row>
    <row r="734">
      <c r="B734" s="50"/>
      <c r="C734" s="59"/>
      <c r="H734" s="52"/>
    </row>
    <row r="735">
      <c r="B735" s="50"/>
      <c r="C735" s="59"/>
      <c r="H735" s="52"/>
    </row>
    <row r="736">
      <c r="B736" s="50"/>
      <c r="C736" s="59"/>
      <c r="H736" s="52"/>
    </row>
    <row r="737">
      <c r="B737" s="50"/>
      <c r="C737" s="59"/>
      <c r="H737" s="52"/>
    </row>
    <row r="738">
      <c r="B738" s="50"/>
      <c r="C738" s="59"/>
      <c r="H738" s="52"/>
    </row>
    <row r="739">
      <c r="B739" s="50"/>
      <c r="C739" s="59"/>
      <c r="H739" s="52"/>
    </row>
    <row r="740">
      <c r="B740" s="50"/>
      <c r="C740" s="59"/>
      <c r="H740" s="52"/>
    </row>
    <row r="741">
      <c r="B741" s="50"/>
      <c r="C741" s="59"/>
      <c r="H741" s="52"/>
    </row>
    <row r="742">
      <c r="B742" s="50"/>
      <c r="C742" s="59"/>
      <c r="H742" s="52"/>
    </row>
    <row r="743">
      <c r="B743" s="50"/>
      <c r="C743" s="59"/>
      <c r="H743" s="52"/>
    </row>
    <row r="744">
      <c r="B744" s="50"/>
      <c r="C744" s="59"/>
      <c r="H744" s="52"/>
    </row>
    <row r="745">
      <c r="B745" s="50"/>
      <c r="C745" s="59"/>
      <c r="H745" s="52"/>
    </row>
    <row r="746">
      <c r="B746" s="50"/>
      <c r="C746" s="59"/>
      <c r="H746" s="52"/>
    </row>
    <row r="747">
      <c r="B747" s="50"/>
      <c r="C747" s="59"/>
      <c r="H747" s="52"/>
    </row>
    <row r="748">
      <c r="B748" s="50"/>
      <c r="C748" s="59"/>
      <c r="H748" s="52"/>
    </row>
    <row r="749">
      <c r="B749" s="50"/>
      <c r="C749" s="59"/>
      <c r="H749" s="52"/>
    </row>
    <row r="750">
      <c r="B750" s="50"/>
      <c r="C750" s="59"/>
      <c r="H750" s="52"/>
    </row>
    <row r="751">
      <c r="B751" s="50"/>
      <c r="C751" s="59"/>
      <c r="H751" s="52"/>
    </row>
    <row r="752">
      <c r="B752" s="50"/>
      <c r="C752" s="59"/>
      <c r="H752" s="52"/>
    </row>
    <row r="753">
      <c r="B753" s="50"/>
      <c r="C753" s="59"/>
      <c r="H753" s="52"/>
    </row>
    <row r="754">
      <c r="B754" s="50"/>
      <c r="C754" s="59"/>
      <c r="H754" s="52"/>
    </row>
    <row r="755">
      <c r="B755" s="50"/>
      <c r="C755" s="59"/>
      <c r="H755" s="52"/>
    </row>
    <row r="756">
      <c r="B756" s="50"/>
      <c r="C756" s="59"/>
      <c r="H756" s="52"/>
    </row>
    <row r="757">
      <c r="B757" s="50"/>
      <c r="C757" s="59"/>
      <c r="H757" s="52"/>
    </row>
    <row r="758">
      <c r="B758" s="50"/>
      <c r="C758" s="59"/>
      <c r="H758" s="52"/>
    </row>
    <row r="759">
      <c r="B759" s="50"/>
      <c r="C759" s="59"/>
      <c r="H759" s="52"/>
    </row>
    <row r="760">
      <c r="B760" s="50"/>
      <c r="C760" s="59"/>
      <c r="H760" s="52"/>
    </row>
    <row r="761">
      <c r="B761" s="50"/>
      <c r="C761" s="59"/>
      <c r="H761" s="52"/>
    </row>
    <row r="762">
      <c r="B762" s="50"/>
      <c r="C762" s="59"/>
      <c r="H762" s="52"/>
    </row>
    <row r="763">
      <c r="B763" s="50"/>
      <c r="C763" s="59"/>
      <c r="H763" s="52"/>
    </row>
    <row r="764">
      <c r="B764" s="50"/>
      <c r="C764" s="59"/>
      <c r="H764" s="52"/>
    </row>
    <row r="765">
      <c r="B765" s="50"/>
      <c r="C765" s="59"/>
      <c r="H765" s="52"/>
    </row>
    <row r="766">
      <c r="B766" s="50"/>
      <c r="C766" s="59"/>
      <c r="H766" s="52"/>
    </row>
    <row r="767">
      <c r="B767" s="50"/>
      <c r="C767" s="59"/>
      <c r="H767" s="52"/>
    </row>
    <row r="768">
      <c r="B768" s="50"/>
      <c r="C768" s="59"/>
      <c r="H768" s="52"/>
    </row>
    <row r="769">
      <c r="B769" s="50"/>
      <c r="C769" s="59"/>
      <c r="H769" s="52"/>
    </row>
    <row r="770">
      <c r="B770" s="50"/>
      <c r="C770" s="59"/>
      <c r="H770" s="52"/>
    </row>
    <row r="771">
      <c r="B771" s="50"/>
      <c r="C771" s="59"/>
      <c r="H771" s="52"/>
    </row>
    <row r="772">
      <c r="B772" s="50"/>
      <c r="C772" s="59"/>
      <c r="H772" s="52"/>
    </row>
    <row r="773">
      <c r="B773" s="50"/>
      <c r="C773" s="59"/>
      <c r="H773" s="52"/>
    </row>
    <row r="774">
      <c r="B774" s="50"/>
      <c r="C774" s="59"/>
      <c r="H774" s="52"/>
    </row>
    <row r="775">
      <c r="B775" s="50"/>
      <c r="C775" s="59"/>
      <c r="H775" s="52"/>
    </row>
    <row r="776">
      <c r="B776" s="50"/>
      <c r="C776" s="59"/>
      <c r="H776" s="52"/>
    </row>
    <row r="777">
      <c r="B777" s="50"/>
      <c r="C777" s="59"/>
      <c r="H777" s="52"/>
    </row>
    <row r="778">
      <c r="B778" s="50"/>
      <c r="C778" s="59"/>
      <c r="H778" s="52"/>
    </row>
    <row r="779">
      <c r="B779" s="50"/>
      <c r="C779" s="59"/>
      <c r="H779" s="52"/>
    </row>
    <row r="780">
      <c r="B780" s="50"/>
      <c r="C780" s="59"/>
      <c r="H780" s="52"/>
    </row>
    <row r="781">
      <c r="B781" s="50"/>
      <c r="C781" s="59"/>
      <c r="H781" s="52"/>
    </row>
    <row r="782">
      <c r="B782" s="50"/>
      <c r="C782" s="59"/>
      <c r="H782" s="52"/>
    </row>
    <row r="783">
      <c r="B783" s="50"/>
      <c r="C783" s="59"/>
      <c r="H783" s="52"/>
    </row>
    <row r="784">
      <c r="B784" s="50"/>
      <c r="C784" s="59"/>
      <c r="H784" s="52"/>
    </row>
    <row r="785">
      <c r="B785" s="50"/>
      <c r="C785" s="59"/>
      <c r="H785" s="52"/>
    </row>
    <row r="786">
      <c r="B786" s="50"/>
      <c r="C786" s="59"/>
      <c r="H786" s="52"/>
    </row>
    <row r="787">
      <c r="B787" s="50"/>
      <c r="C787" s="59"/>
      <c r="H787" s="52"/>
    </row>
    <row r="788">
      <c r="B788" s="50"/>
      <c r="C788" s="59"/>
      <c r="H788" s="52"/>
    </row>
    <row r="789">
      <c r="B789" s="50"/>
      <c r="C789" s="59"/>
      <c r="H789" s="52"/>
    </row>
    <row r="790">
      <c r="B790" s="50"/>
      <c r="C790" s="59"/>
      <c r="H790" s="52"/>
    </row>
    <row r="791">
      <c r="B791" s="50"/>
      <c r="C791" s="59"/>
      <c r="H791" s="52"/>
    </row>
    <row r="792">
      <c r="B792" s="50"/>
      <c r="C792" s="59"/>
      <c r="H792" s="52"/>
    </row>
    <row r="793">
      <c r="B793" s="50"/>
      <c r="C793" s="59"/>
      <c r="H793" s="52"/>
    </row>
    <row r="794">
      <c r="B794" s="50"/>
      <c r="C794" s="59"/>
      <c r="H794" s="52"/>
    </row>
    <row r="795">
      <c r="B795" s="50"/>
      <c r="C795" s="59"/>
      <c r="H795" s="52"/>
    </row>
    <row r="796">
      <c r="B796" s="50"/>
      <c r="C796" s="59"/>
      <c r="H796" s="52"/>
    </row>
    <row r="797">
      <c r="B797" s="50"/>
      <c r="C797" s="59"/>
      <c r="H797" s="52"/>
    </row>
    <row r="798">
      <c r="B798" s="50"/>
      <c r="C798" s="59"/>
      <c r="H798" s="52"/>
    </row>
    <row r="799">
      <c r="B799" s="50"/>
      <c r="C799" s="59"/>
      <c r="H799" s="52"/>
    </row>
    <row r="800">
      <c r="B800" s="50"/>
      <c r="C800" s="59"/>
      <c r="H800" s="52"/>
    </row>
    <row r="801">
      <c r="B801" s="50"/>
      <c r="C801" s="59"/>
      <c r="H801" s="52"/>
    </row>
    <row r="802">
      <c r="B802" s="50"/>
      <c r="C802" s="59"/>
      <c r="H802" s="52"/>
    </row>
    <row r="803">
      <c r="B803" s="50"/>
      <c r="C803" s="59"/>
      <c r="H803" s="52"/>
    </row>
    <row r="804">
      <c r="B804" s="50"/>
      <c r="C804" s="59"/>
      <c r="H804" s="52"/>
    </row>
    <row r="805">
      <c r="B805" s="50"/>
      <c r="C805" s="59"/>
      <c r="H805" s="52"/>
    </row>
    <row r="806">
      <c r="B806" s="50"/>
      <c r="C806" s="59"/>
      <c r="H806" s="52"/>
    </row>
    <row r="807">
      <c r="B807" s="50"/>
      <c r="C807" s="59"/>
      <c r="H807" s="52"/>
    </row>
    <row r="808">
      <c r="B808" s="50"/>
      <c r="C808" s="59"/>
      <c r="H808" s="52"/>
    </row>
    <row r="809">
      <c r="B809" s="50"/>
      <c r="C809" s="59"/>
      <c r="H809" s="52"/>
    </row>
    <row r="810">
      <c r="B810" s="50"/>
      <c r="C810" s="59"/>
      <c r="H810" s="52"/>
    </row>
    <row r="811">
      <c r="B811" s="50"/>
      <c r="C811" s="59"/>
      <c r="H811" s="52"/>
    </row>
    <row r="812">
      <c r="B812" s="50"/>
      <c r="C812" s="59"/>
      <c r="H812" s="52"/>
    </row>
    <row r="813">
      <c r="B813" s="50"/>
      <c r="C813" s="59"/>
      <c r="H813" s="52"/>
    </row>
    <row r="814">
      <c r="B814" s="50"/>
      <c r="C814" s="59"/>
      <c r="H814" s="52"/>
    </row>
    <row r="815">
      <c r="B815" s="50"/>
      <c r="C815" s="59"/>
      <c r="H815" s="52"/>
    </row>
    <row r="816">
      <c r="B816" s="50"/>
      <c r="C816" s="59"/>
      <c r="H816" s="52"/>
    </row>
    <row r="817">
      <c r="B817" s="50"/>
      <c r="C817" s="59"/>
      <c r="H817" s="52"/>
    </row>
    <row r="818">
      <c r="B818" s="50"/>
      <c r="C818" s="59"/>
      <c r="H818" s="52"/>
    </row>
    <row r="819">
      <c r="B819" s="50"/>
      <c r="C819" s="59"/>
      <c r="H819" s="52"/>
    </row>
    <row r="820">
      <c r="B820" s="50"/>
      <c r="C820" s="59"/>
      <c r="H820" s="52"/>
    </row>
    <row r="821">
      <c r="B821" s="50"/>
      <c r="C821" s="59"/>
      <c r="H821" s="52"/>
    </row>
    <row r="822">
      <c r="B822" s="50"/>
      <c r="C822" s="59"/>
      <c r="H822" s="52"/>
    </row>
    <row r="823">
      <c r="B823" s="50"/>
      <c r="C823" s="59"/>
      <c r="H823" s="52"/>
    </row>
    <row r="824">
      <c r="B824" s="50"/>
      <c r="C824" s="59"/>
      <c r="H824" s="52"/>
    </row>
    <row r="825">
      <c r="B825" s="50"/>
      <c r="C825" s="59"/>
      <c r="H825" s="52"/>
    </row>
    <row r="826">
      <c r="B826" s="50"/>
      <c r="C826" s="59"/>
      <c r="H826" s="52"/>
    </row>
    <row r="827">
      <c r="B827" s="50"/>
      <c r="C827" s="59"/>
      <c r="H827" s="52"/>
    </row>
    <row r="828">
      <c r="B828" s="50"/>
      <c r="C828" s="59"/>
      <c r="H828" s="52"/>
    </row>
    <row r="829">
      <c r="B829" s="50"/>
      <c r="C829" s="59"/>
      <c r="H829" s="52"/>
    </row>
    <row r="830">
      <c r="B830" s="50"/>
      <c r="C830" s="59"/>
      <c r="H830" s="52"/>
    </row>
    <row r="831">
      <c r="B831" s="50"/>
      <c r="C831" s="59"/>
      <c r="H831" s="52"/>
    </row>
    <row r="832">
      <c r="B832" s="50"/>
      <c r="C832" s="59"/>
      <c r="H832" s="52"/>
    </row>
    <row r="833">
      <c r="B833" s="50"/>
      <c r="C833" s="59"/>
      <c r="H833" s="52"/>
    </row>
    <row r="834">
      <c r="B834" s="50"/>
      <c r="C834" s="59"/>
      <c r="H834" s="52"/>
    </row>
    <row r="835">
      <c r="B835" s="50"/>
      <c r="C835" s="59"/>
      <c r="H835" s="52"/>
    </row>
    <row r="836">
      <c r="B836" s="50"/>
      <c r="C836" s="59"/>
      <c r="H836" s="52"/>
    </row>
    <row r="837">
      <c r="B837" s="50"/>
      <c r="C837" s="59"/>
      <c r="H837" s="52"/>
    </row>
    <row r="838">
      <c r="B838" s="50"/>
      <c r="C838" s="59"/>
      <c r="H838" s="52"/>
    </row>
    <row r="839">
      <c r="B839" s="50"/>
      <c r="C839" s="59"/>
      <c r="H839" s="52"/>
    </row>
    <row r="840">
      <c r="B840" s="50"/>
      <c r="C840" s="59"/>
      <c r="H840" s="52"/>
    </row>
    <row r="841">
      <c r="B841" s="50"/>
      <c r="C841" s="59"/>
      <c r="H841" s="52"/>
    </row>
    <row r="842">
      <c r="B842" s="50"/>
      <c r="C842" s="59"/>
      <c r="H842" s="52"/>
    </row>
    <row r="843">
      <c r="B843" s="50"/>
      <c r="C843" s="59"/>
      <c r="H843" s="52"/>
    </row>
    <row r="844">
      <c r="B844" s="50"/>
      <c r="C844" s="59"/>
      <c r="H844" s="52"/>
    </row>
    <row r="845">
      <c r="B845" s="50"/>
      <c r="C845" s="59"/>
      <c r="H845" s="52"/>
    </row>
    <row r="846">
      <c r="B846" s="50"/>
      <c r="C846" s="59"/>
      <c r="H846" s="52"/>
    </row>
    <row r="847">
      <c r="B847" s="50"/>
      <c r="C847" s="59"/>
      <c r="H847" s="52"/>
    </row>
    <row r="848">
      <c r="B848" s="50"/>
      <c r="C848" s="59"/>
      <c r="H848" s="52"/>
    </row>
    <row r="849">
      <c r="B849" s="50"/>
      <c r="C849" s="59"/>
      <c r="H849" s="52"/>
    </row>
    <row r="850">
      <c r="B850" s="50"/>
      <c r="C850" s="59"/>
      <c r="H850" s="52"/>
    </row>
    <row r="851">
      <c r="B851" s="50"/>
      <c r="C851" s="59"/>
      <c r="H851" s="52"/>
    </row>
    <row r="852">
      <c r="B852" s="50"/>
      <c r="C852" s="59"/>
      <c r="H852" s="52"/>
    </row>
    <row r="853">
      <c r="B853" s="50"/>
      <c r="C853" s="59"/>
      <c r="H853" s="52"/>
    </row>
    <row r="854">
      <c r="B854" s="50"/>
      <c r="C854" s="59"/>
      <c r="H854" s="52"/>
    </row>
    <row r="855">
      <c r="B855" s="50"/>
      <c r="C855" s="59"/>
      <c r="H855" s="52"/>
    </row>
    <row r="856">
      <c r="B856" s="50"/>
      <c r="C856" s="59"/>
      <c r="H856" s="52"/>
    </row>
    <row r="857">
      <c r="B857" s="50"/>
      <c r="C857" s="59"/>
      <c r="H857" s="52"/>
    </row>
    <row r="858">
      <c r="B858" s="50"/>
      <c r="C858" s="59"/>
      <c r="H858" s="52"/>
    </row>
    <row r="859">
      <c r="B859" s="50"/>
      <c r="C859" s="59"/>
      <c r="H859" s="52"/>
    </row>
    <row r="860">
      <c r="B860" s="50"/>
      <c r="C860" s="59"/>
      <c r="H860" s="52"/>
    </row>
    <row r="861">
      <c r="B861" s="50"/>
      <c r="C861" s="59"/>
      <c r="H861" s="52"/>
    </row>
    <row r="862">
      <c r="B862" s="50"/>
      <c r="C862" s="59"/>
      <c r="H862" s="52"/>
    </row>
    <row r="863">
      <c r="B863" s="50"/>
      <c r="C863" s="59"/>
      <c r="H863" s="52"/>
    </row>
    <row r="864">
      <c r="B864" s="50"/>
      <c r="C864" s="59"/>
      <c r="H864" s="52"/>
    </row>
    <row r="865">
      <c r="B865" s="50"/>
      <c r="C865" s="59"/>
      <c r="H865" s="52"/>
    </row>
    <row r="866">
      <c r="B866" s="50"/>
      <c r="C866" s="59"/>
      <c r="H866" s="52"/>
    </row>
    <row r="867">
      <c r="B867" s="50"/>
      <c r="C867" s="59"/>
      <c r="H867" s="52"/>
    </row>
    <row r="868">
      <c r="B868" s="50"/>
      <c r="C868" s="59"/>
      <c r="H868" s="52"/>
    </row>
    <row r="869">
      <c r="B869" s="50"/>
      <c r="C869" s="59"/>
      <c r="H869" s="52"/>
    </row>
    <row r="870">
      <c r="B870" s="50"/>
      <c r="C870" s="59"/>
      <c r="H870" s="52"/>
    </row>
    <row r="871">
      <c r="B871" s="50"/>
      <c r="C871" s="59"/>
      <c r="H871" s="52"/>
    </row>
    <row r="872">
      <c r="B872" s="50"/>
      <c r="C872" s="59"/>
      <c r="H872" s="52"/>
    </row>
    <row r="873">
      <c r="B873" s="50"/>
      <c r="C873" s="59"/>
      <c r="H873" s="52"/>
    </row>
    <row r="874">
      <c r="B874" s="50"/>
      <c r="C874" s="59"/>
      <c r="H874" s="52"/>
    </row>
    <row r="875">
      <c r="B875" s="50"/>
      <c r="C875" s="59"/>
      <c r="H875" s="52"/>
    </row>
    <row r="876">
      <c r="B876" s="50"/>
      <c r="C876" s="59"/>
      <c r="H876" s="52"/>
    </row>
    <row r="877">
      <c r="B877" s="50"/>
      <c r="C877" s="59"/>
      <c r="H877" s="52"/>
    </row>
    <row r="878">
      <c r="B878" s="50"/>
      <c r="C878" s="59"/>
      <c r="H878" s="52"/>
    </row>
    <row r="879">
      <c r="B879" s="50"/>
      <c r="C879" s="59"/>
      <c r="H879" s="52"/>
    </row>
    <row r="880">
      <c r="B880" s="50"/>
      <c r="C880" s="59"/>
      <c r="H880" s="52"/>
    </row>
    <row r="881">
      <c r="B881" s="50"/>
      <c r="C881" s="59"/>
      <c r="H881" s="52"/>
    </row>
    <row r="882">
      <c r="B882" s="50"/>
      <c r="C882" s="59"/>
      <c r="H882" s="52"/>
    </row>
    <row r="883">
      <c r="B883" s="50"/>
      <c r="C883" s="59"/>
      <c r="H883" s="52"/>
    </row>
    <row r="884">
      <c r="B884" s="50"/>
      <c r="C884" s="59"/>
      <c r="H884" s="52"/>
    </row>
    <row r="885">
      <c r="B885" s="50"/>
      <c r="C885" s="59"/>
      <c r="H885" s="52"/>
    </row>
    <row r="886">
      <c r="B886" s="50"/>
      <c r="C886" s="59"/>
      <c r="H886" s="52"/>
    </row>
    <row r="887">
      <c r="B887" s="50"/>
      <c r="C887" s="59"/>
      <c r="H887" s="52"/>
    </row>
    <row r="888">
      <c r="B888" s="50"/>
      <c r="C888" s="59"/>
      <c r="H888" s="52"/>
    </row>
    <row r="889">
      <c r="B889" s="50"/>
      <c r="C889" s="59"/>
      <c r="H889" s="52"/>
    </row>
    <row r="890">
      <c r="B890" s="50"/>
      <c r="C890" s="59"/>
      <c r="H890" s="52"/>
    </row>
    <row r="891">
      <c r="B891" s="50"/>
      <c r="C891" s="59"/>
      <c r="H891" s="52"/>
    </row>
    <row r="892">
      <c r="B892" s="50"/>
      <c r="C892" s="59"/>
      <c r="H892" s="52"/>
    </row>
    <row r="893">
      <c r="B893" s="50"/>
      <c r="C893" s="59"/>
      <c r="H893" s="52"/>
    </row>
    <row r="894">
      <c r="B894" s="50"/>
      <c r="C894" s="59"/>
      <c r="H894" s="52"/>
    </row>
    <row r="895">
      <c r="B895" s="50"/>
      <c r="C895" s="59"/>
      <c r="H895" s="52"/>
    </row>
    <row r="896">
      <c r="B896" s="50"/>
      <c r="C896" s="59"/>
      <c r="H896" s="52"/>
    </row>
    <row r="897">
      <c r="B897" s="50"/>
      <c r="C897" s="59"/>
      <c r="H897" s="52"/>
    </row>
    <row r="898">
      <c r="B898" s="50"/>
      <c r="C898" s="59"/>
      <c r="H898" s="52"/>
    </row>
    <row r="899">
      <c r="B899" s="50"/>
      <c r="C899" s="59"/>
      <c r="H899" s="52"/>
    </row>
    <row r="900">
      <c r="B900" s="50"/>
      <c r="C900" s="59"/>
      <c r="H900" s="52"/>
    </row>
    <row r="901">
      <c r="B901" s="50"/>
      <c r="C901" s="59"/>
      <c r="H901" s="52"/>
    </row>
    <row r="902">
      <c r="B902" s="50"/>
      <c r="C902" s="59"/>
      <c r="H902" s="52"/>
    </row>
    <row r="903">
      <c r="B903" s="50"/>
      <c r="C903" s="59"/>
      <c r="H903" s="52"/>
    </row>
    <row r="904">
      <c r="B904" s="50"/>
      <c r="C904" s="59"/>
      <c r="H904" s="52"/>
    </row>
    <row r="905">
      <c r="B905" s="50"/>
      <c r="C905" s="59"/>
      <c r="H905" s="52"/>
    </row>
    <row r="906">
      <c r="B906" s="50"/>
      <c r="C906" s="59"/>
      <c r="H906" s="52"/>
    </row>
    <row r="907">
      <c r="B907" s="50"/>
      <c r="C907" s="59"/>
      <c r="H907" s="52"/>
    </row>
    <row r="908">
      <c r="B908" s="50"/>
      <c r="C908" s="59"/>
      <c r="H908" s="52"/>
    </row>
    <row r="909">
      <c r="B909" s="50"/>
      <c r="C909" s="59"/>
      <c r="H909" s="52"/>
    </row>
    <row r="910">
      <c r="B910" s="50"/>
      <c r="C910" s="59"/>
      <c r="H910" s="52"/>
    </row>
    <row r="911">
      <c r="B911" s="50"/>
      <c r="C911" s="59"/>
      <c r="H911" s="52"/>
    </row>
    <row r="912">
      <c r="B912" s="50"/>
      <c r="C912" s="59"/>
      <c r="H912" s="52"/>
    </row>
    <row r="913">
      <c r="B913" s="50"/>
      <c r="C913" s="59"/>
      <c r="H913" s="52"/>
    </row>
    <row r="914">
      <c r="B914" s="50"/>
      <c r="C914" s="59"/>
      <c r="H914" s="52"/>
    </row>
    <row r="915">
      <c r="B915" s="50"/>
      <c r="C915" s="59"/>
      <c r="H915" s="52"/>
    </row>
    <row r="916">
      <c r="B916" s="50"/>
      <c r="C916" s="59"/>
      <c r="H916" s="52"/>
    </row>
    <row r="917">
      <c r="B917" s="50"/>
      <c r="C917" s="59"/>
      <c r="H917" s="52"/>
    </row>
    <row r="918">
      <c r="B918" s="50"/>
      <c r="C918" s="59"/>
      <c r="H918" s="52"/>
    </row>
    <row r="919">
      <c r="B919" s="50"/>
      <c r="C919" s="59"/>
      <c r="H919" s="52"/>
    </row>
    <row r="920">
      <c r="B920" s="50"/>
      <c r="C920" s="59"/>
      <c r="H920" s="52"/>
    </row>
    <row r="921">
      <c r="B921" s="50"/>
      <c r="C921" s="59"/>
      <c r="H921" s="52"/>
    </row>
    <row r="922">
      <c r="B922" s="50"/>
      <c r="C922" s="59"/>
      <c r="H922" s="52"/>
    </row>
    <row r="923">
      <c r="B923" s="50"/>
      <c r="C923" s="59"/>
      <c r="H923" s="52"/>
    </row>
    <row r="924">
      <c r="B924" s="50"/>
      <c r="C924" s="59"/>
      <c r="H924" s="52"/>
    </row>
    <row r="925">
      <c r="B925" s="50"/>
      <c r="C925" s="59"/>
      <c r="H925" s="52"/>
    </row>
    <row r="926">
      <c r="B926" s="50"/>
      <c r="C926" s="59"/>
      <c r="H926" s="52"/>
    </row>
    <row r="927">
      <c r="B927" s="50"/>
      <c r="C927" s="59"/>
      <c r="H927" s="52"/>
    </row>
    <row r="928">
      <c r="B928" s="50"/>
      <c r="C928" s="59"/>
      <c r="H928" s="52"/>
    </row>
    <row r="929">
      <c r="B929" s="50"/>
      <c r="C929" s="59"/>
      <c r="H929" s="52"/>
    </row>
    <row r="930">
      <c r="B930" s="50"/>
      <c r="C930" s="59"/>
      <c r="H930" s="52"/>
    </row>
    <row r="931">
      <c r="B931" s="50"/>
      <c r="C931" s="59"/>
      <c r="H931" s="52"/>
    </row>
    <row r="932">
      <c r="B932" s="50"/>
      <c r="C932" s="59"/>
      <c r="H932" s="52"/>
    </row>
    <row r="933">
      <c r="B933" s="50"/>
      <c r="C933" s="59"/>
      <c r="H933" s="52"/>
    </row>
    <row r="934">
      <c r="B934" s="50"/>
      <c r="C934" s="59"/>
      <c r="H934" s="52"/>
    </row>
    <row r="935">
      <c r="B935" s="50"/>
      <c r="C935" s="59"/>
      <c r="H935" s="52"/>
    </row>
    <row r="936">
      <c r="B936" s="50"/>
      <c r="C936" s="59"/>
      <c r="H936" s="52"/>
    </row>
    <row r="937">
      <c r="B937" s="50"/>
      <c r="C937" s="59"/>
      <c r="H937" s="52"/>
    </row>
    <row r="938">
      <c r="B938" s="50"/>
      <c r="C938" s="59"/>
      <c r="H938" s="52"/>
    </row>
    <row r="939">
      <c r="B939" s="50"/>
      <c r="C939" s="59"/>
      <c r="H939" s="52"/>
    </row>
    <row r="940">
      <c r="B940" s="50"/>
      <c r="C940" s="59"/>
      <c r="H940" s="52"/>
    </row>
    <row r="941">
      <c r="B941" s="50"/>
      <c r="C941" s="59"/>
      <c r="H941" s="52"/>
    </row>
    <row r="942">
      <c r="B942" s="50"/>
      <c r="C942" s="59"/>
      <c r="H942" s="52"/>
    </row>
    <row r="943">
      <c r="B943" s="50"/>
      <c r="C943" s="59"/>
      <c r="H943" s="52"/>
    </row>
    <row r="944">
      <c r="B944" s="50"/>
      <c r="C944" s="59"/>
      <c r="H944" s="52"/>
    </row>
    <row r="945">
      <c r="B945" s="50"/>
      <c r="C945" s="59"/>
      <c r="H945" s="52"/>
    </row>
    <row r="946">
      <c r="B946" s="50"/>
      <c r="C946" s="59"/>
      <c r="H946" s="52"/>
    </row>
    <row r="947">
      <c r="B947" s="50"/>
      <c r="C947" s="59"/>
      <c r="H947" s="52"/>
    </row>
    <row r="948">
      <c r="B948" s="50"/>
      <c r="C948" s="59"/>
      <c r="H948" s="52"/>
    </row>
    <row r="949">
      <c r="B949" s="50"/>
      <c r="C949" s="59"/>
      <c r="H949" s="52"/>
    </row>
    <row r="950">
      <c r="B950" s="50"/>
      <c r="C950" s="59"/>
      <c r="H950" s="52"/>
    </row>
    <row r="951">
      <c r="B951" s="50"/>
      <c r="C951" s="59"/>
      <c r="H951" s="52"/>
    </row>
    <row r="952">
      <c r="B952" s="50"/>
      <c r="C952" s="59"/>
      <c r="H952" s="52"/>
    </row>
    <row r="953">
      <c r="B953" s="50"/>
      <c r="C953" s="59"/>
      <c r="H953" s="52"/>
    </row>
    <row r="954">
      <c r="B954" s="50"/>
      <c r="C954" s="59"/>
      <c r="H954" s="52"/>
    </row>
    <row r="955">
      <c r="B955" s="50"/>
      <c r="C955" s="59"/>
      <c r="H955" s="52"/>
    </row>
    <row r="956">
      <c r="B956" s="50"/>
      <c r="C956" s="59"/>
      <c r="H956" s="52"/>
    </row>
    <row r="957">
      <c r="B957" s="50"/>
      <c r="C957" s="59"/>
      <c r="H957" s="52"/>
    </row>
    <row r="958">
      <c r="B958" s="50"/>
      <c r="C958" s="59"/>
      <c r="H958" s="52"/>
    </row>
    <row r="959">
      <c r="B959" s="50"/>
      <c r="C959" s="59"/>
      <c r="H959" s="52"/>
    </row>
    <row r="960">
      <c r="B960" s="50"/>
      <c r="C960" s="59"/>
      <c r="H960" s="52"/>
    </row>
    <row r="961">
      <c r="B961" s="50"/>
      <c r="C961" s="59"/>
      <c r="H961" s="52"/>
    </row>
    <row r="962">
      <c r="B962" s="50"/>
      <c r="C962" s="59"/>
      <c r="H962" s="52"/>
    </row>
    <row r="963">
      <c r="B963" s="50"/>
      <c r="C963" s="59"/>
      <c r="H963" s="52"/>
    </row>
    <row r="964">
      <c r="B964" s="50"/>
      <c r="C964" s="59"/>
      <c r="H964" s="52"/>
    </row>
    <row r="965">
      <c r="B965" s="50"/>
      <c r="C965" s="59"/>
      <c r="H965" s="52"/>
    </row>
    <row r="966">
      <c r="B966" s="50"/>
      <c r="C966" s="59"/>
      <c r="H966" s="52"/>
    </row>
    <row r="967">
      <c r="B967" s="50"/>
      <c r="C967" s="59"/>
      <c r="H967" s="52"/>
    </row>
    <row r="968">
      <c r="B968" s="50"/>
      <c r="C968" s="59"/>
      <c r="H968" s="52"/>
    </row>
    <row r="969">
      <c r="B969" s="50"/>
      <c r="C969" s="59"/>
      <c r="H969" s="52"/>
    </row>
    <row r="970">
      <c r="B970" s="50"/>
      <c r="C970" s="59"/>
      <c r="H970" s="52"/>
    </row>
    <row r="971">
      <c r="B971" s="50"/>
      <c r="C971" s="59"/>
      <c r="H971" s="52"/>
    </row>
    <row r="972">
      <c r="B972" s="50"/>
      <c r="C972" s="59"/>
      <c r="H972" s="52"/>
    </row>
    <row r="973">
      <c r="B973" s="50"/>
      <c r="C973" s="59"/>
      <c r="H973" s="52"/>
    </row>
    <row r="974">
      <c r="B974" s="50"/>
      <c r="C974" s="59"/>
      <c r="H974" s="52"/>
    </row>
    <row r="975">
      <c r="B975" s="50"/>
      <c r="C975" s="59"/>
      <c r="H975" s="52"/>
    </row>
    <row r="976">
      <c r="B976" s="50"/>
      <c r="C976" s="59"/>
      <c r="H976" s="52"/>
    </row>
    <row r="977">
      <c r="B977" s="50"/>
      <c r="C977" s="59"/>
      <c r="H977" s="52"/>
    </row>
    <row r="978">
      <c r="B978" s="50"/>
      <c r="C978" s="59"/>
      <c r="H978" s="52"/>
    </row>
    <row r="979">
      <c r="B979" s="50"/>
      <c r="C979" s="59"/>
      <c r="H979" s="52"/>
    </row>
    <row r="980">
      <c r="B980" s="50"/>
      <c r="C980" s="59"/>
      <c r="H980" s="52"/>
    </row>
    <row r="981">
      <c r="B981" s="50"/>
      <c r="C981" s="59"/>
      <c r="H981" s="52"/>
    </row>
    <row r="982">
      <c r="B982" s="50"/>
      <c r="C982" s="59"/>
      <c r="H982" s="52"/>
    </row>
    <row r="983">
      <c r="B983" s="50"/>
      <c r="C983" s="59"/>
      <c r="H983" s="52"/>
    </row>
    <row r="984">
      <c r="B984" s="50"/>
      <c r="C984" s="59"/>
      <c r="H984" s="52"/>
    </row>
    <row r="985">
      <c r="B985" s="50"/>
      <c r="C985" s="59"/>
      <c r="H985" s="52"/>
    </row>
    <row r="986">
      <c r="B986" s="50"/>
      <c r="C986" s="59"/>
      <c r="H986" s="52"/>
    </row>
    <row r="987">
      <c r="B987" s="50"/>
      <c r="C987" s="59"/>
      <c r="H987" s="52"/>
    </row>
    <row r="988">
      <c r="B988" s="50"/>
      <c r="C988" s="59"/>
      <c r="H988" s="52"/>
    </row>
    <row r="989">
      <c r="B989" s="50"/>
      <c r="C989" s="59"/>
      <c r="H989" s="52"/>
    </row>
    <row r="990">
      <c r="B990" s="50"/>
      <c r="C990" s="59"/>
      <c r="H990" s="52"/>
    </row>
    <row r="991">
      <c r="B991" s="50"/>
      <c r="C991" s="59"/>
      <c r="H991" s="52"/>
    </row>
    <row r="992">
      <c r="B992" s="50"/>
      <c r="C992" s="59"/>
      <c r="H992" s="52"/>
    </row>
    <row r="993">
      <c r="B993" s="50"/>
      <c r="C993" s="59"/>
      <c r="H993" s="52"/>
    </row>
    <row r="994">
      <c r="B994" s="50"/>
      <c r="C994" s="59"/>
      <c r="H994" s="52"/>
    </row>
    <row r="995">
      <c r="B995" s="50"/>
      <c r="C995" s="59"/>
      <c r="H995" s="52"/>
    </row>
    <row r="996">
      <c r="B996" s="50"/>
      <c r="C996" s="59"/>
      <c r="H996" s="52"/>
    </row>
    <row r="997">
      <c r="B997" s="50"/>
      <c r="C997" s="59"/>
      <c r="H997" s="52"/>
    </row>
    <row r="998">
      <c r="B998" s="50"/>
      <c r="C998" s="59"/>
      <c r="H998" s="52"/>
    </row>
    <row r="999">
      <c r="B999" s="50"/>
      <c r="C999" s="59"/>
      <c r="H999" s="52"/>
    </row>
    <row r="1000">
      <c r="B1000" s="50"/>
      <c r="C1000" s="59"/>
      <c r="H1000" s="52"/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182</v>
      </c>
    </row>
    <row r="2">
      <c r="A2" s="4" t="s">
        <v>169</v>
      </c>
      <c r="B2" s="4">
        <v>0.2924572</v>
      </c>
    </row>
    <row r="3">
      <c r="A3" s="4" t="s">
        <v>30</v>
      </c>
      <c r="B3" s="4">
        <v>0.3362009</v>
      </c>
    </row>
    <row r="4">
      <c r="A4" s="4" t="s">
        <v>31</v>
      </c>
      <c r="B4" s="4">
        <v>0.235845</v>
      </c>
    </row>
    <row r="5">
      <c r="A5" s="4" t="s">
        <v>32</v>
      </c>
      <c r="B5" s="4">
        <v>-0.1632347</v>
      </c>
    </row>
    <row r="6">
      <c r="A6" s="4" t="s">
        <v>183</v>
      </c>
      <c r="B6" s="4">
        <v>-0.1066464</v>
      </c>
    </row>
    <row r="7">
      <c r="A7" s="4" t="s">
        <v>34</v>
      </c>
      <c r="B7" s="4">
        <v>0.004768921</v>
      </c>
    </row>
    <row r="8">
      <c r="A8" s="4" t="s">
        <v>35</v>
      </c>
      <c r="B8" s="4">
        <v>-0.06349507</v>
      </c>
    </row>
  </sheetData>
  <drawing r:id="rId1"/>
</worksheet>
</file>