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tro\Documents\Analysis Projects\MOD 1 - Excel\Challenge\Deliverable 2\"/>
    </mc:Choice>
  </mc:AlternateContent>
  <xr:revisionPtr revIDLastSave="0" documentId="13_ncr:1_{7381BA77-5AEB-43D4-8422-670EFB7B503D}" xr6:coauthVersionLast="47" xr6:coauthVersionMax="47" xr10:uidLastSave="{00000000-0000-0000-0000-000000000000}"/>
  <bookViews>
    <workbookView xWindow="-108" yWindow="-108" windowWidth="23256" windowHeight="12576" tabRatio="864" activeTab="1" xr2:uid="{00000000-000D-0000-FFFF-FFFF00000000}"/>
  </bookViews>
  <sheets>
    <sheet name="Kickstarter" sheetId="1" r:id="rId1"/>
    <sheet name="Outcomes Based on Goals" sheetId="20" r:id="rId2"/>
    <sheet name="Sheet4" sheetId="23" r:id="rId3"/>
    <sheet name="Theater Outcomes by Launch Date" sheetId="19" r:id="rId4"/>
    <sheet name="Category Statistics" sheetId="2" r:id="rId5"/>
    <sheet name="Subcategory Statistics" sheetId="6" r:id="rId6"/>
    <sheet name="Outcomes Based on Launch Date" sheetId="8" r:id="rId7"/>
    <sheet name="Edinburgh Research" sheetId="9" r:id="rId8"/>
    <sheet name="Successful US Kickstarters" sheetId="16" r:id="rId9"/>
    <sheet name="Failed US KIckstarters" sheetId="17" r:id="rId10"/>
    <sheet name="Descriptive Statistics" sheetId="15" r:id="rId11"/>
    <sheet name="Chart1" sheetId="18" r:id="rId12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2" r:id="rId15"/>
    <pivotCache cacheId="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0" l="1"/>
  <c r="G4" i="20"/>
  <c r="G5" i="20"/>
  <c r="G6" i="20"/>
  <c r="G7" i="20"/>
  <c r="G8" i="20"/>
  <c r="G9" i="20"/>
  <c r="G10" i="20"/>
  <c r="G11" i="20"/>
  <c r="G12" i="20"/>
  <c r="G13" i="20"/>
  <c r="G2" i="20"/>
  <c r="C7" i="20"/>
  <c r="D3" i="20"/>
  <c r="D2" i="20"/>
  <c r="H4" i="20"/>
  <c r="H5" i="20"/>
  <c r="H6" i="20"/>
  <c r="H8" i="20"/>
  <c r="H9" i="20"/>
  <c r="H10" i="20"/>
  <c r="H11" i="20"/>
  <c r="H12" i="20"/>
  <c r="H13" i="20"/>
  <c r="F4" i="20"/>
  <c r="F5" i="20"/>
  <c r="F6" i="20"/>
  <c r="F8" i="20"/>
  <c r="F9" i="20"/>
  <c r="F10" i="20"/>
  <c r="F11" i="20"/>
  <c r="F12" i="20"/>
  <c r="F13" i="20"/>
  <c r="O2" i="1"/>
  <c r="C3" i="20"/>
  <c r="C2" i="20"/>
  <c r="D13" i="20"/>
  <c r="D12" i="20"/>
  <c r="D11" i="20"/>
  <c r="D10" i="20"/>
  <c r="D9" i="20"/>
  <c r="D8" i="20"/>
  <c r="D7" i="20"/>
  <c r="D6" i="20"/>
  <c r="D5" i="20"/>
  <c r="D4" i="20"/>
  <c r="E4" i="20" s="1"/>
  <c r="C13" i="20"/>
  <c r="C12" i="20"/>
  <c r="C11" i="20"/>
  <c r="C10" i="20"/>
  <c r="C9" i="20"/>
  <c r="C8" i="20"/>
  <c r="C6" i="20"/>
  <c r="C5" i="20"/>
  <c r="C4" i="20"/>
  <c r="B4" i="20"/>
  <c r="B3" i="20"/>
  <c r="B13" i="20"/>
  <c r="B12" i="20"/>
  <c r="B11" i="20"/>
  <c r="B10" i="20"/>
  <c r="B9" i="20"/>
  <c r="B8" i="20"/>
  <c r="B7" i="20"/>
  <c r="B6" i="20"/>
  <c r="B5" i="20"/>
  <c r="E3" i="20" l="1"/>
  <c r="E5" i="20"/>
  <c r="E10" i="20"/>
  <c r="E7" i="20"/>
  <c r="E6" i="20"/>
  <c r="E8" i="20"/>
  <c r="E9" i="20"/>
  <c r="E12" i="20"/>
  <c r="E11" i="20"/>
  <c r="E13" i="20"/>
  <c r="B2" i="20"/>
  <c r="C14" i="15"/>
  <c r="C13" i="15"/>
  <c r="C12" i="15"/>
  <c r="C11" i="15"/>
  <c r="B14" i="15"/>
  <c r="B13" i="15"/>
  <c r="B12" i="15"/>
  <c r="B11" i="15"/>
  <c r="C7" i="15"/>
  <c r="C6" i="15"/>
  <c r="C5" i="15"/>
  <c r="C4" i="15"/>
  <c r="B7" i="15"/>
  <c r="B6" i="15"/>
  <c r="B5" i="15"/>
  <c r="B4" i="15"/>
  <c r="C10" i="15"/>
  <c r="C9" i="15"/>
  <c r="C3" i="15"/>
  <c r="C2" i="15"/>
  <c r="B10" i="15"/>
  <c r="B9" i="15"/>
  <c r="B3" i="15"/>
  <c r="B2" i="15"/>
  <c r="F2" i="9"/>
  <c r="F3" i="9"/>
  <c r="F4" i="9"/>
  <c r="F5" i="9"/>
  <c r="F6" i="9"/>
  <c r="D2" i="9"/>
  <c r="D3" i="9"/>
  <c r="D4" i="9"/>
  <c r="D5" i="9"/>
  <c r="D6" i="9"/>
  <c r="C2" i="9"/>
  <c r="C3" i="9"/>
  <c r="C4" i="9"/>
  <c r="C5" i="9"/>
  <c r="C6" i="9"/>
  <c r="B2" i="9"/>
  <c r="B3" i="9"/>
  <c r="B4" i="9"/>
  <c r="B5" i="9"/>
  <c r="B6" i="9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7" i="20" l="1"/>
  <c r="H7" i="20"/>
  <c r="F3" i="20"/>
  <c r="H3" i="20"/>
  <c r="U179" i="1"/>
  <c r="E2" i="20"/>
  <c r="U127" i="1"/>
  <c r="F2" i="20" l="1"/>
  <c r="H2" i="20"/>
</calcChain>
</file>

<file path=xl/sharedStrings.xml><?xml version="1.0" encoding="utf-8"?>
<sst xmlns="http://schemas.openxmlformats.org/spreadsheetml/2006/main" count="38399" uniqueCount="8420">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</sst>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44" fontId="1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Sheet4!$B$4:$B$16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3-4A8A-B61F-9672FF2C16E9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Sheet4!$C$4:$C$16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3-4A8A-B61F-9672FF2C16E9}"/>
            </c:ext>
          </c:extLst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Sheet4!$D$4:$D$16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33-4A8A-B61F-9672FF2C1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881919"/>
        <c:axId val="896883999"/>
      </c:lineChart>
      <c:catAx>
        <c:axId val="89688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83999"/>
        <c:crosses val="autoZero"/>
        <c:auto val="1"/>
        <c:lblAlgn val="ctr"/>
        <c:lblOffset val="100"/>
        <c:noMultiLvlLbl val="0"/>
      </c:catAx>
      <c:valAx>
        <c:axId val="89688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8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Date!Theater_Outcomes_Based_on_Launch_Date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8-415C-90D8-6352DE43058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8-415C-90D8-6352DE43058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B8-415C-90D8-6352DE430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942111"/>
        <c:axId val="283940447"/>
      </c:lineChart>
      <c:catAx>
        <c:axId val="28394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40447"/>
        <c:crosses val="autoZero"/>
        <c:auto val="1"/>
        <c:lblAlgn val="ctr"/>
        <c:lblOffset val="100"/>
        <c:noMultiLvlLbl val="0"/>
      </c:catAx>
      <c:valAx>
        <c:axId val="28394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4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Title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2-43E1-8E4B-230419752D8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C2-43E1-8E4B-230419752D8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C2-43E1-8E4B-230419752D8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C2-43E1-8E4B-230419752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800112"/>
        <c:axId val="159793872"/>
      </c:barChart>
      <c:catAx>
        <c:axId val="1598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93872"/>
        <c:crosses val="autoZero"/>
        <c:auto val="1"/>
        <c:lblAlgn val="ctr"/>
        <c:lblOffset val="100"/>
        <c:noMultiLvlLbl val="0"/>
      </c:catAx>
      <c:valAx>
        <c:axId val="15979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0-4D13-AC6E-F45BEEE0C54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70-4D13-AC6E-F45BEEE0C54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70-4D13-AC6E-F45BEEE0C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7345904"/>
        <c:axId val="1977345488"/>
      </c:barChart>
      <c:catAx>
        <c:axId val="197734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45488"/>
        <c:crosses val="autoZero"/>
        <c:auto val="1"/>
        <c:lblAlgn val="ctr"/>
        <c:lblOffset val="100"/>
        <c:noMultiLvlLbl val="0"/>
      </c:catAx>
      <c:valAx>
        <c:axId val="197734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4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8C-4F33-85FD-04B2F5D512B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8C-4F33-85FD-04B2F5D512B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8C-4F33-85FD-04B2F5D512B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8C-4F33-85FD-04B2F5D51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96784"/>
        <c:axId val="159785552"/>
      </c:lineChart>
      <c:catAx>
        <c:axId val="15979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5552"/>
        <c:crosses val="autoZero"/>
        <c:auto val="1"/>
        <c:lblAlgn val="ctr"/>
        <c:lblOffset val="100"/>
        <c:noMultiLvlLbl val="0"/>
      </c:catAx>
      <c:valAx>
        <c:axId val="15978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9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61255F8-A845-4F85-BC23-B99AD8F7A03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B90E597-A09A-4504-B379-75DDC21245A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2EB7AB7-98B7-40D2-9F93-9EB319B53E50}">
  <sheetPr/>
  <sheetViews>
    <sheetView zoomScale="15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</xdr:row>
      <xdr:rowOff>171450</xdr:rowOff>
    </xdr:from>
    <xdr:to>
      <xdr:col>6</xdr:col>
      <xdr:colOff>1181100</xdr:colOff>
      <xdr:row>16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325D5D-5B72-49EA-8146-831C8CB14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2</xdr:row>
      <xdr:rowOff>49530</xdr:rowOff>
    </xdr:from>
    <xdr:to>
      <xdr:col>12</xdr:col>
      <xdr:colOff>335280</xdr:colOff>
      <xdr:row>17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DBAF0-AC96-4079-92EA-0DC1EA2E6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1</xdr:row>
      <xdr:rowOff>125730</xdr:rowOff>
    </xdr:from>
    <xdr:to>
      <xdr:col>10</xdr:col>
      <xdr:colOff>45720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7C38D2-E23C-422D-85A3-6C810ED92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3</xdr:row>
      <xdr:rowOff>26670</xdr:rowOff>
    </xdr:from>
    <xdr:to>
      <xdr:col>16</xdr:col>
      <xdr:colOff>335280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2824C-6721-40C2-B2CD-A740A0B8F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41910</xdr:rowOff>
    </xdr:from>
    <xdr:to>
      <xdr:col>13</xdr:col>
      <xdr:colOff>434340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F88CD-7175-4540-9C40-A0666C1A1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1240" cy="62788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DA15D80-8A1B-4F2C-9074-5A3CF158081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A87FBD3-6FB8-4A48-9F54-0692CB8ECEC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1240" cy="62788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1.427217129632" createdVersion="7" refreshedVersion="7" minRefreshableVersion="3" recordCount="4114" xr:uid="{F27D6D80-DE7E-44FD-B830-5F348D161F3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1.484581597222" createdVersion="7" refreshedVersion="7" minRefreshableVersion="3" recordCount="4114" xr:uid="{4118182B-2279-4B21-A540-A8AF9DCC227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9.523294444443" createdVersion="7" refreshedVersion="7" minRefreshableVersion="3" recordCount="4114" xr:uid="{1970FC33-0FC9-4852-B067-7F9DAA9C37B1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9.895700231478" createdVersion="7" refreshedVersion="7" minRefreshableVersion="3" recordCount="12" xr:uid="{8F861AD2-3665-4776-B59F-3CA6243B6829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 count="11">
        <n v="76"/>
        <n v="73"/>
        <n v="55"/>
        <n v="54"/>
        <n v="50"/>
        <n v="45"/>
        <n v="20"/>
        <n v="27"/>
        <n v="67"/>
        <n v="0"/>
        <n v="13"/>
      </sharedItems>
    </cacheField>
    <cacheField name="Percentage Failed" numFmtId="0">
      <sharedItems containsSemiMixedTypes="0" containsString="0" containsNumber="1" containsInteger="1" minValue="24" maxValue="100" count="11">
        <n v="24"/>
        <n v="27"/>
        <n v="45"/>
        <n v="46"/>
        <n v="50"/>
        <n v="55"/>
        <n v="80"/>
        <n v="73"/>
        <n v="33"/>
        <n v="100"/>
        <n v="88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07B10-8C87-4A8D-AC17-AA7E1FAFE3FB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21">
    <chartFormat chart="3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82E6F-E761-4340-A04F-AD2FDD1F66EA}" name="Theater_Outcomes_Based_on_Launch_Date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C5E275-CBFA-43B1-8A8D-1987CDFEC25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C392C-0749-46B4-8DD3-CF993BA75C3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10211-CF20-4809-9BD4-D6A6E0272CC9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124" zoomScale="95" zoomScaleNormal="95" workbookViewId="0">
      <selection activeCell="D124" sqref="D1:D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8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6640625" customWidth="1"/>
    <col min="16" max="16" width="16" customWidth="1"/>
    <col min="17" max="17" width="41.109375" customWidth="1"/>
    <col min="18" max="18" width="12.21875" customWidth="1"/>
    <col min="19" max="19" width="22.109375" customWidth="1"/>
    <col min="20" max="20" width="20.33203125" customWidth="1"/>
  </cols>
  <sheetData>
    <row r="1" spans="1:21" s="9" customForma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8397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(((I2/60)/60)/24+DATE(1970,1,1))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(((I3/60)/60)/24+DATE(1970,1,1))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(((I67/60)/60)/24+DATE(1970,1,1))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(((I131/60)/60)/24+DATE(1970,1,1))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(((I195/60)/60)/24+DATE(1970,1,1))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(((I259/60)/60)/24+DATE(1970,1,1))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(((I323/60)/60)/24+DATE(1970,1,1))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(((I387/60)/60)/24+DATE(1970,1,1))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(((I451/60)/60)/24+DATE(1970,1,1))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(((I515/60)/60)/24+DATE(1970,1,1))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(((I579/60)/60)/24+DATE(1970,1,1))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(((I643/60)/60)/24+DATE(1970,1,1))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(((I707/60)/60)/24+DATE(1970,1,1))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(((I771/60)/60)/24+DATE(1970,1,1))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(((I835/60)/60)/24+DATE(1970,1,1))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(((I899/60)/60)/24+DATE(1970,1,1))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(((I963/60)/60)/24+DATE(1970,1,1))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(((I1027/60)/60)/24+DATE(1970,1,1))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(((I1091/60)/60)/24+DATE(1970,1,1))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(((I1155/60)/60)/24+DATE(1970,1,1))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(((I1219/60)/60)/24+DATE(1970,1,1))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(((I1283/60)/60)/24+DATE(1970,1,1))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(((I1347/60)/60)/24+DATE(1970,1,1))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(((I1411/60)/60)/24+DATE(1970,1,1))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(((I1475/60)/60)/24+DATE(1970,1,1))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(((I1539/60)/60)/24+DATE(1970,1,1))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(((I1603/60)/60)/24+DATE(1970,1,1))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(((I1667/60)/60)/24+DATE(1970,1,1))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(((I1731/60)/60)/24+DATE(1970,1,1))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(((I1795/60)/60)/24+DATE(1970,1,1))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(((I1859/60)/60)/24+DATE(1970,1,1))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(((I1923/60)/60)/24+DATE(1970,1,1))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(((I1987/60)/60)/24+DATE(1970,1,1))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(((I2051/60)/60)/24+DATE(1970,1,1))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(((I2115/60)/60)/24+DATE(1970,1,1))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(((I2179/60)/60)/24+DATE(1970,1,1))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(((I2243/60)/60)/24+DATE(1970,1,1))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(((I2307/60)/60)/24+DATE(1970,1,1))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(((I2371/60)/60)/24+DATE(1970,1,1))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(((I2435/60)/60)/24+DATE(1970,1,1))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(((I2499/60)/60)/24+DATE(1970,1,1))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(((I2563/60)/60)/24+DATE(1970,1,1))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(((I2627/60)/60)/24+DATE(1970,1,1))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(((I2691/60)/60)/24+DATE(1970,1,1))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(((I2755/60)/60)/24+DATE(1970,1,1))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(((I2819/60)/60)/24+DATE(1970,1,1))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(((I2883/60)/60)/24+DATE(1970,1,1))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(((I2947/60)/60)/24+DATE(1970,1,1))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(((I3011/60)/60)/24+DATE(1970,1,1))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(((I3075/60)/60)/24+DATE(1970,1,1))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(((I3139/60)/60)/24+DATE(1970,1,1))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(((I3203/60)/60)/24+DATE(1970,1,1))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(((I3267/60)/60)/24+DATE(1970,1,1))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(((I3331/60)/60)/24+DATE(1970,1,1))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(((I3395/60)/60)/24+DATE(1970,1,1))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(((I3459/60)/60)/24+DATE(1970,1,1))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(((I3523/60)/60)/24+DATE(1970,1,1))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(((I3587/60)/60)/24+DATE(1970,1,1))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(((I3651/60)/60)/24+DATE(1970,1,1))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(((I3715/60)/60)/24+DATE(1970,1,1))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(((I3779/60)/60)/24+DATE(1970,1,1))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(((I3843/60)/60)/24+DATE(1970,1,1))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(((I3907/60)/60)/24+DATE(1970,1,1))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(((I3971/60)/60)/24+DATE(1970,1,1))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(((I4035/60)/60)/24+DATE(1970,1,1))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(((I4099/60)/60)/24+DATE(1970,1,1))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377CA-0749-4A7A-8AD4-F2612F418DF6}">
  <dimension ref="A1:H13"/>
  <sheetViews>
    <sheetView tabSelected="1" workbookViewId="0">
      <selection activeCell="E2" sqref="E2"/>
    </sheetView>
  </sheetViews>
  <sheetFormatPr defaultRowHeight="14.4" x14ac:dyDescent="0.3"/>
  <cols>
    <col min="1" max="1" width="17.5546875" customWidth="1"/>
    <col min="2" max="2" width="17.33203125" customWidth="1"/>
    <col min="3" max="3" width="15.33203125" customWidth="1"/>
    <col min="4" max="4" width="16.109375" customWidth="1"/>
    <col min="5" max="5" width="13.6640625" customWidth="1"/>
    <col min="6" max="6" width="20" customWidth="1"/>
    <col min="7" max="7" width="16.44140625" customWidth="1"/>
    <col min="8" max="8" width="19.5546875" customWidth="1"/>
  </cols>
  <sheetData>
    <row r="1" spans="1:8" s="9" customFormat="1" x14ac:dyDescent="0.3">
      <c r="A1" s="9" t="s">
        <v>8380</v>
      </c>
      <c r="B1" s="9" t="s">
        <v>8398</v>
      </c>
      <c r="C1" s="9" t="s">
        <v>8399</v>
      </c>
      <c r="D1" s="9" t="s">
        <v>8400</v>
      </c>
      <c r="E1" s="9" t="s">
        <v>8401</v>
      </c>
      <c r="F1" s="9" t="s">
        <v>8402</v>
      </c>
      <c r="G1" s="9" t="s">
        <v>8403</v>
      </c>
      <c r="H1" s="9" t="s">
        <v>8404</v>
      </c>
    </row>
    <row r="2" spans="1:8" x14ac:dyDescent="0.3">
      <c r="A2" t="s">
        <v>8405</v>
      </c>
      <c r="B2">
        <f>COUNTIFS(Kickstarter!$D:$D, "&lt;1000", Kickstarter!F:F, "successful", Kickstarter!R:R, "plays")</f>
        <v>141</v>
      </c>
      <c r="C2">
        <f>COUNTIFS(Kickstarter!$D:$D, "&lt;1000", Kickstarter!F:F, "failed", Kickstarter!R:R, "plays")</f>
        <v>45</v>
      </c>
      <c r="D2">
        <f>COUNTIFS(Kickstarter!$D:$D, "&lt;1000", Kickstarter!F:F, "canceled", Kickstarter!R:R, "plays")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8406</v>
      </c>
      <c r="B3">
        <f>COUNTIFS(Kickstarter!$D:$D, "&gt;=1000", Kickstarter!F:F, "successful", Kickstarter!R:R, "plays", Kickstarter!$D:$D, "&lt;=4999")</f>
        <v>388</v>
      </c>
      <c r="C3">
        <f>COUNTIFS(Kickstarter!$D:$D, "&gt;=1000", Kickstarter!F:F, "failed", Kickstarter!R:R, "plays", Kickstarter!$D:$D, "&lt;=4999")</f>
        <v>146</v>
      </c>
      <c r="D3">
        <f>COUNTIFS(Kickstarter!$D:$D, "&gt;=1000", Kickstarter!F:F, "canceled", Kickstarter!R:R, "plays", Kickstarter!$D:$D, "&lt;=4999")</f>
        <v>0</v>
      </c>
      <c r="E3">
        <f t="shared" ref="E3:E13" si="0">SUM(B3,C3,D3)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t="s">
        <v>8407</v>
      </c>
      <c r="B4">
        <f>COUNTIFS(Kickstarter!$D:$D, "&gt;=5000", Kickstarter!F:F, "successful", Kickstarter!R:R, "plays", Kickstarter!$D:$D, "&lt;=9999")</f>
        <v>93</v>
      </c>
      <c r="C4">
        <f>COUNTIFS(Kickstarter!$D:$D, "&gt;=5000", Kickstarter!F:F, "failed", Kickstarter!R:R, "plays", Kickstarter!$D:$D, "&lt;=9999")</f>
        <v>76</v>
      </c>
      <c r="D4">
        <f>COUNTIFS(Kickstarter!$D:$D, "&gt;=5000", Kickstarter!F:F, "canceled", Kickstarter!R:R, "plays", Kickstarter!$D:$D, 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8408</v>
      </c>
      <c r="B5">
        <f>COUNTIFS(Kickstarter!$D:$D, "&gt;=10000", Kickstarter!F:F, "successful", Kickstarter!R:R, "plays", Kickstarter!$D:$D, "&lt;=14999")</f>
        <v>39</v>
      </c>
      <c r="C5">
        <f>COUNTIFS(Kickstarter!$D:$D, "&gt;=10000", Kickstarter!F:F, "failed", Kickstarter!R:R, "plays", Kickstarter!$D:$D, "&lt;=14999")</f>
        <v>33</v>
      </c>
      <c r="D5">
        <f>COUNTIFS(Kickstarter!$D:$D, "&gt;=10000", Kickstarter!F:F, "canceled", Kickstarter!R:R, "plays", Kickstarter!$D:$D, 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8409</v>
      </c>
      <c r="B6">
        <f>COUNTIFS(Kickstarter!$D:$D, "&gt;=15000", Kickstarter!F:F, "successful", Kickstarter!R:R, "plays", Kickstarter!$D:$D, "&lt;=19999")</f>
        <v>12</v>
      </c>
      <c r="C6">
        <f>COUNTIFS(Kickstarter!$D:$D, "&gt;=15000", Kickstarter!F:F, "failed", Kickstarter!R:R, "plays", Kickstarter!$D:$D, "&lt;=19999")</f>
        <v>12</v>
      </c>
      <c r="D6">
        <f>COUNTIFS(Kickstarter!$D:$D, "&gt;=15000", Kickstarter!F:F, "canceled", Kickstarter!R:R, "plays", Kickstarter!$D:$D,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8410</v>
      </c>
      <c r="B7">
        <f>COUNTIFS(Kickstarter!$D:$D, "&gt;=20000", Kickstarter!F:F, "successful", Kickstarter!R:R, "plays", Kickstarter!$D:$D, "&lt;=24999")</f>
        <v>9</v>
      </c>
      <c r="C7">
        <f>COUNTIFS(Kickstarter!$D:$D, "&gt;=20000", Kickstarter!F:F, "failed", Kickstarter!R:R, "plays", Kickstarter!$D:$D, "&lt;=24999")</f>
        <v>11</v>
      </c>
      <c r="D7">
        <f>COUNTIFS(Kickstarter!$D:$D, "&gt;=20000", Kickstarter!F:F, "canceled", Kickstarter!R:R, "plays", Kickstarter!$D:$D, 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8411</v>
      </c>
      <c r="B8">
        <f>COUNTIFS(Kickstarter!$D:$D, "&gt;=25000", Kickstarter!F:F, "successful", Kickstarter!R:R, "plays", Kickstarter!$D:$D, "&lt;=29999")</f>
        <v>1</v>
      </c>
      <c r="C8">
        <f>COUNTIFS(Kickstarter!$D:$D, "&gt;=25000", Kickstarter!F:F, "failed", Kickstarter!R:R, "plays", Kickstarter!$D:$D, "&lt;=29999")</f>
        <v>4</v>
      </c>
      <c r="D8">
        <f>COUNTIFS(Kickstarter!$D:$D, "&gt;=25000", Kickstarter!F:F, "canceled", Kickstarter!R:R, "plays", Kickstarter!$D:$D,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8412</v>
      </c>
      <c r="B9">
        <f>COUNTIFS(Kickstarter!$D:$D, "&gt;=30000", Kickstarter!F:F, "successful", Kickstarter!R:R, "plays", Kickstarter!$D:$D, "&lt;=34999")</f>
        <v>3</v>
      </c>
      <c r="C9">
        <f>COUNTIFS(Kickstarter!$D:$D, "&gt;=30000", Kickstarter!F:F, "failed", Kickstarter!R:R, "plays", Kickstarter!$D:$D, "&lt;=34999")</f>
        <v>8</v>
      </c>
      <c r="D9">
        <f>COUNTIFS(Kickstarter!$D:$D, "&gt;=30000", Kickstarter!F:F, "canceled", Kickstarter!R:R, "plays", Kickstarter!$D:$D, 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8413</v>
      </c>
      <c r="B10">
        <f>COUNTIFS(Kickstarter!$D:$D, "&gt;=35000", Kickstarter!F:F, "successful", Kickstarter!R:R, "plays", Kickstarter!$D:$D, "&lt;=39999")</f>
        <v>4</v>
      </c>
      <c r="C10">
        <f>COUNTIFS(Kickstarter!$D:$D, "&gt;=35000", Kickstarter!F:F, "failed", Kickstarter!R:R, "plays", Kickstarter!$D:$D, "&lt;=39999")</f>
        <v>2</v>
      </c>
      <c r="D10">
        <f>COUNTIFS(Kickstarter!$D:$D, "&gt;=35000", Kickstarter!F:F, "canceled", Kickstarter!R:R, "plays", Kickstarter!$D:$D, 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8414</v>
      </c>
      <c r="B11">
        <f>COUNTIFS(Kickstarter!$D:$D, "&gt;=40000", Kickstarter!F:F, "successful", Kickstarter!R:R, "plays", Kickstarter!$D:$D, "&lt;=44999")</f>
        <v>2</v>
      </c>
      <c r="C11">
        <f>COUNTIFS(Kickstarter!$D:$D, "&gt;=40000", Kickstarter!F:F, "failed", Kickstarter!R:R, "plays", Kickstarter!$D:$D, "&lt;=44999")</f>
        <v>1</v>
      </c>
      <c r="D11">
        <f>COUNTIFS(Kickstarter!$D:$D, "&gt;=40000", Kickstarter!F:F, "canceled", Kickstarter!R:R, "plays", Kickstarter!$D:$D, 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8415</v>
      </c>
      <c r="B12">
        <f>COUNTIFS(Kickstarter!$D:$D, "&gt;=45000", Kickstarter!F:F, "successful", Kickstarter!R:R, "plays", Kickstarter!$D:$D, "&lt;=49999")</f>
        <v>0</v>
      </c>
      <c r="C12">
        <f>COUNTIFS(Kickstarter!$D:$D, "&gt;=45000", Kickstarter!F:F, "failed", Kickstarter!R:R, "plays", Kickstarter!$D:$D, "&lt;=49999")</f>
        <v>1</v>
      </c>
      <c r="D12">
        <f>COUNTIFS(Kickstarter!$D:$D, "&gt;=45000", Kickstarter!F:F, "canceled", Kickstarter!R:R, "plays", Kickstarter!$D:$D, 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8416</v>
      </c>
      <c r="B13">
        <f>COUNTIFS(Kickstarter!$D:$D, "&gt;=50000", Kickstarter!F:F, "successful", Kickstarter!R:R, "plays")</f>
        <v>2</v>
      </c>
      <c r="C13">
        <f>COUNTIFS(Kickstarter!$D:$D, "&gt;=50000", Kickstarter!F:F, "failed", Kickstarter!R:R, "plays")</f>
        <v>14</v>
      </c>
      <c r="D13">
        <f>COUNTIFS(Kickstarter!$D:$D, "&gt;=50000", Kickstarter!F:F, "canceled", Kickstarter!R:R, "plays", Kickstarter!$D:$D,)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D8C6C-0FD4-4B79-B86F-4CB9650A4F3E}">
  <dimension ref="A3:D16"/>
  <sheetViews>
    <sheetView workbookViewId="0">
      <selection activeCell="F17" sqref="F17"/>
    </sheetView>
  </sheetViews>
  <sheetFormatPr defaultRowHeight="14.4" x14ac:dyDescent="0.3"/>
  <cols>
    <col min="1" max="1" width="16.88671875" bestFit="1" customWidth="1"/>
    <col min="2" max="2" width="26.44140625" bestFit="1" customWidth="1"/>
    <col min="3" max="3" width="22.5546875" bestFit="1" customWidth="1"/>
    <col min="4" max="4" width="25.44140625" bestFit="1" customWidth="1"/>
    <col min="5" max="5" width="22.5546875" bestFit="1" customWidth="1"/>
    <col min="6" max="6" width="26.44140625" bestFit="1" customWidth="1"/>
    <col min="7" max="7" width="25.44140625" bestFit="1" customWidth="1"/>
    <col min="8" max="8" width="26.44140625" bestFit="1" customWidth="1"/>
    <col min="9" max="9" width="25.44140625" bestFit="1" customWidth="1"/>
    <col min="10" max="10" width="26.44140625" bestFit="1" customWidth="1"/>
    <col min="11" max="11" width="25.44140625" bestFit="1" customWidth="1"/>
    <col min="12" max="12" width="26.44140625" bestFit="1" customWidth="1"/>
    <col min="13" max="13" width="25.44140625" bestFit="1" customWidth="1"/>
    <col min="14" max="14" width="26.44140625" bestFit="1" customWidth="1"/>
    <col min="15" max="15" width="25.44140625" bestFit="1" customWidth="1"/>
    <col min="16" max="16" width="26.44140625" bestFit="1" customWidth="1"/>
    <col min="17" max="17" width="25.44140625" bestFit="1" customWidth="1"/>
    <col min="18" max="18" width="26.44140625" bestFit="1" customWidth="1"/>
    <col min="19" max="19" width="25.44140625" bestFit="1" customWidth="1"/>
    <col min="20" max="20" width="26.44140625" bestFit="1" customWidth="1"/>
    <col min="21" max="21" width="25.44140625" bestFit="1" customWidth="1"/>
    <col min="22" max="22" width="26.44140625" bestFit="1" customWidth="1"/>
    <col min="23" max="23" width="25.44140625" bestFit="1" customWidth="1"/>
    <col min="24" max="24" width="31.21875" bestFit="1" customWidth="1"/>
    <col min="25" max="25" width="30.21875" bestFit="1" customWidth="1"/>
    <col min="26" max="26" width="5" bestFit="1" customWidth="1"/>
    <col min="27" max="28" width="7.6640625" bestFit="1" customWidth="1"/>
    <col min="29" max="29" width="5" bestFit="1" customWidth="1"/>
    <col min="30" max="31" width="7.6640625" bestFit="1" customWidth="1"/>
    <col min="32" max="32" width="5" bestFit="1" customWidth="1"/>
    <col min="33" max="34" width="7.6640625" bestFit="1" customWidth="1"/>
    <col min="35" max="35" width="10.77734375" bestFit="1" customWidth="1"/>
  </cols>
  <sheetData>
    <row r="3" spans="1:4" x14ac:dyDescent="0.3">
      <c r="A3" s="12" t="s">
        <v>8362</v>
      </c>
      <c r="B3" t="s">
        <v>8417</v>
      </c>
      <c r="C3" t="s">
        <v>8418</v>
      </c>
      <c r="D3" t="s">
        <v>8419</v>
      </c>
    </row>
    <row r="4" spans="1:4" x14ac:dyDescent="0.3">
      <c r="A4" s="13" t="s">
        <v>8405</v>
      </c>
      <c r="B4" s="14">
        <v>76</v>
      </c>
      <c r="C4" s="14">
        <v>24</v>
      </c>
      <c r="D4" s="14">
        <v>0</v>
      </c>
    </row>
    <row r="5" spans="1:4" x14ac:dyDescent="0.3">
      <c r="A5" s="13" t="s">
        <v>8406</v>
      </c>
      <c r="B5" s="14">
        <v>73</v>
      </c>
      <c r="C5" s="14">
        <v>27</v>
      </c>
      <c r="D5" s="14">
        <v>0</v>
      </c>
    </row>
    <row r="6" spans="1:4" x14ac:dyDescent="0.3">
      <c r="A6" s="13" t="s">
        <v>8407</v>
      </c>
      <c r="B6" s="14">
        <v>55</v>
      </c>
      <c r="C6" s="14">
        <v>45</v>
      </c>
      <c r="D6" s="14">
        <v>0</v>
      </c>
    </row>
    <row r="7" spans="1:4" x14ac:dyDescent="0.3">
      <c r="A7" s="13" t="s">
        <v>8408</v>
      </c>
      <c r="B7" s="14">
        <v>54</v>
      </c>
      <c r="C7" s="14">
        <v>46</v>
      </c>
      <c r="D7" s="14">
        <v>0</v>
      </c>
    </row>
    <row r="8" spans="1:4" x14ac:dyDescent="0.3">
      <c r="A8" s="13" t="s">
        <v>8409</v>
      </c>
      <c r="B8" s="14">
        <v>50</v>
      </c>
      <c r="C8" s="14">
        <v>50</v>
      </c>
      <c r="D8" s="14">
        <v>0</v>
      </c>
    </row>
    <row r="9" spans="1:4" x14ac:dyDescent="0.3">
      <c r="A9" s="13" t="s">
        <v>8410</v>
      </c>
      <c r="B9" s="14">
        <v>45</v>
      </c>
      <c r="C9" s="14">
        <v>55</v>
      </c>
      <c r="D9" s="14">
        <v>0</v>
      </c>
    </row>
    <row r="10" spans="1:4" x14ac:dyDescent="0.3">
      <c r="A10" s="13" t="s">
        <v>8411</v>
      </c>
      <c r="B10" s="14">
        <v>20</v>
      </c>
      <c r="C10" s="14">
        <v>80</v>
      </c>
      <c r="D10" s="14">
        <v>0</v>
      </c>
    </row>
    <row r="11" spans="1:4" x14ac:dyDescent="0.3">
      <c r="A11" s="13" t="s">
        <v>8412</v>
      </c>
      <c r="B11" s="14">
        <v>27</v>
      </c>
      <c r="C11" s="14">
        <v>73</v>
      </c>
      <c r="D11" s="14">
        <v>0</v>
      </c>
    </row>
    <row r="12" spans="1:4" x14ac:dyDescent="0.3">
      <c r="A12" s="13" t="s">
        <v>8413</v>
      </c>
      <c r="B12" s="14">
        <v>67</v>
      </c>
      <c r="C12" s="14">
        <v>33</v>
      </c>
      <c r="D12" s="14">
        <v>0</v>
      </c>
    </row>
    <row r="13" spans="1:4" x14ac:dyDescent="0.3">
      <c r="A13" s="13" t="s">
        <v>8414</v>
      </c>
      <c r="B13" s="14">
        <v>67</v>
      </c>
      <c r="C13" s="14">
        <v>33</v>
      </c>
      <c r="D13" s="14">
        <v>0</v>
      </c>
    </row>
    <row r="14" spans="1:4" x14ac:dyDescent="0.3">
      <c r="A14" s="13" t="s">
        <v>8415</v>
      </c>
      <c r="B14" s="14">
        <v>0</v>
      </c>
      <c r="C14" s="14">
        <v>100</v>
      </c>
      <c r="D14" s="14">
        <v>0</v>
      </c>
    </row>
    <row r="15" spans="1:4" x14ac:dyDescent="0.3">
      <c r="A15" s="13" t="s">
        <v>8416</v>
      </c>
      <c r="B15" s="14">
        <v>13</v>
      </c>
      <c r="C15" s="14">
        <v>88</v>
      </c>
      <c r="D15" s="14">
        <v>0</v>
      </c>
    </row>
    <row r="16" spans="1:4" x14ac:dyDescent="0.3">
      <c r="A16" s="13" t="s">
        <v>8361</v>
      </c>
      <c r="B16" s="14">
        <v>547</v>
      </c>
      <c r="C16" s="14">
        <v>654</v>
      </c>
      <c r="D16" s="14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CC2CD-76DA-4FA3-BED3-F2D265C41EB1}">
  <dimension ref="A1:E18"/>
  <sheetViews>
    <sheetView workbookViewId="0">
      <selection activeCell="E12" sqref="E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12" bestFit="1" customWidth="1"/>
    <col min="13" max="13" width="9.6640625" bestFit="1" customWidth="1"/>
    <col min="14" max="19" width="11.21875" bestFit="1" customWidth="1"/>
    <col min="20" max="20" width="9.6640625" bestFit="1" customWidth="1"/>
    <col min="21" max="26" width="11.21875" bestFit="1" customWidth="1"/>
    <col min="27" max="27" width="9.6640625" bestFit="1" customWidth="1"/>
    <col min="28" max="33" width="11.21875" bestFit="1" customWidth="1"/>
    <col min="34" max="34" width="9.6640625" bestFit="1" customWidth="1"/>
    <col min="35" max="43" width="12" bestFit="1" customWidth="1"/>
    <col min="44" max="44" width="9.6640625" bestFit="1" customWidth="1"/>
    <col min="45" max="53" width="12" bestFit="1" customWidth="1"/>
    <col min="54" max="54" width="9.6640625" bestFit="1" customWidth="1"/>
    <col min="55" max="63" width="12" bestFit="1" customWidth="1"/>
    <col min="64" max="64" width="9.6640625" bestFit="1" customWidth="1"/>
    <col min="65" max="73" width="12" bestFit="1" customWidth="1"/>
    <col min="74" max="74" width="9.6640625" bestFit="1" customWidth="1"/>
    <col min="75" max="75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8397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59F18-CE64-422B-881D-9DB812E0EFC2}">
  <dimension ref="A1:F6"/>
  <sheetViews>
    <sheetView workbookViewId="0">
      <selection activeCell="D5" sqref="D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2.88671875" bestFit="1" customWidth="1"/>
    <col min="8" max="8" width="17.33203125" bestFit="1" customWidth="1"/>
    <col min="9" max="9" width="22.88671875" bestFit="1" customWidth="1"/>
    <col min="10" max="10" width="22.109375" bestFit="1" customWidth="1"/>
    <col min="11" max="11" width="27.664062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A89DB-2BCE-4AC0-A2CC-8CEBD01867F4}">
  <dimension ref="A1:E7"/>
  <sheetViews>
    <sheetView workbookViewId="0">
      <selection activeCell="A29" sqref="A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C61FA-4D49-4984-AD7C-BE15C77FCF94}">
  <dimension ref="A3:F17"/>
  <sheetViews>
    <sheetView workbookViewId="0">
      <selection activeCell="B13" sqref="B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3">
      <c r="A6" s="16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3">
      <c r="A7" s="16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3">
      <c r="A8" s="16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3">
      <c r="A9" s="16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3">
      <c r="A10" s="16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3">
      <c r="A11" s="16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16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3">
      <c r="A13" s="16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3">
      <c r="A14" s="16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3">
      <c r="A15" s="16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3">
      <c r="A16" s="16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3">
      <c r="A17" s="16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59E4B-D3A2-4E44-9532-C418BC734FC1}">
  <dimension ref="A1:F15"/>
  <sheetViews>
    <sheetView zoomScale="95" zoomScaleNormal="95" workbookViewId="0">
      <selection activeCell="H2" sqref="H2"/>
    </sheetView>
  </sheetViews>
  <sheetFormatPr defaultRowHeight="14.4" x14ac:dyDescent="0.3"/>
  <cols>
    <col min="1" max="1" width="18.33203125" customWidth="1"/>
    <col min="2" max="2" width="33" customWidth="1"/>
    <col min="3" max="3" width="8.88671875" customWidth="1"/>
    <col min="5" max="5" width="15.88671875" customWidth="1"/>
    <col min="6" max="6" width="17.6640625" customWidth="1"/>
  </cols>
  <sheetData>
    <row r="1" spans="1:6" x14ac:dyDescent="0.3">
      <c r="A1" s="9" t="s">
        <v>8379</v>
      </c>
      <c r="B1" s="9" t="s">
        <v>4110</v>
      </c>
      <c r="C1" s="9" t="s">
        <v>8380</v>
      </c>
      <c r="D1" s="9" t="s">
        <v>8381</v>
      </c>
      <c r="E1" s="9" t="s">
        <v>8307</v>
      </c>
      <c r="F1" s="9" t="s">
        <v>8382</v>
      </c>
    </row>
    <row r="2" spans="1:6" ht="64.8" customHeight="1" x14ac:dyDescent="0.3">
      <c r="A2" s="17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 Kickstarter!B:Z, 15, FALSE)</f>
        <v>51.79</v>
      </c>
      <c r="F2">
        <f>VLOOKUP(A2, Kickstarter!B:L, 11, FALSE)</f>
        <v>39</v>
      </c>
    </row>
    <row r="3" spans="1:6" ht="57.6" x14ac:dyDescent="0.3">
      <c r="A3" s="17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VLOOKUP(A3, Kickstarter!B:Z, 15, FALSE)</f>
        <v>36.07</v>
      </c>
      <c r="F3">
        <f>VLOOKUP(A3, Kickstarter!B:L, 11, FALSE)</f>
        <v>56</v>
      </c>
    </row>
    <row r="4" spans="1:6" ht="57.6" x14ac:dyDescent="0.3">
      <c r="A4" s="17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VLOOKUP(A4, Kickstarter!B:Z, 15, FALSE)</f>
        <v>33.03</v>
      </c>
      <c r="F4">
        <f>VLOOKUP(A4, Kickstarter!B:L, 11, FALSE)</f>
        <v>78</v>
      </c>
    </row>
    <row r="5" spans="1:6" ht="43.2" x14ac:dyDescent="0.3">
      <c r="A5" s="17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VLOOKUP(A5, Kickstarter!B:Z, 15, FALSE)</f>
        <v>44.92</v>
      </c>
      <c r="F5">
        <f>VLOOKUP(A5, Kickstarter!B:L, 11, FALSE)</f>
        <v>26</v>
      </c>
    </row>
    <row r="6" spans="1:6" ht="57.6" x14ac:dyDescent="0.3">
      <c r="A6" s="17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VLOOKUP(A6, Kickstarter!B:Z, 15, FALSE)</f>
        <v>36.61</v>
      </c>
      <c r="F6">
        <f>VLOOKUP(A6, Kickstarter!B:L, 11, FALSE)</f>
        <v>113</v>
      </c>
    </row>
    <row r="10" spans="1:6" x14ac:dyDescent="0.3">
      <c r="A10" s="9"/>
      <c r="B10" s="9"/>
    </row>
    <row r="11" spans="1:6" x14ac:dyDescent="0.3">
      <c r="A11" s="17"/>
    </row>
    <row r="12" spans="1:6" x14ac:dyDescent="0.3">
      <c r="A12" s="17"/>
    </row>
    <row r="13" spans="1:6" x14ac:dyDescent="0.3">
      <c r="A13" s="17"/>
    </row>
    <row r="14" spans="1:6" x14ac:dyDescent="0.3">
      <c r="A14" s="17"/>
    </row>
    <row r="15" spans="1:6" x14ac:dyDescent="0.3">
      <c r="A15" s="17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7988-828A-4CA1-AE40-CE332190E813}">
  <dimension ref="A1:T413"/>
  <sheetViews>
    <sheetView workbookViewId="0">
      <selection activeCell="D1" sqref="D1:D1048576"/>
    </sheetView>
  </sheetViews>
  <sheetFormatPr defaultRowHeight="14.4" x14ac:dyDescent="0.3"/>
  <cols>
    <col min="4" max="4" width="13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B2C7C-0A38-4866-AD82-A3A3E358BF9F}">
  <dimension ref="A1:T251"/>
  <sheetViews>
    <sheetView workbookViewId="0">
      <selection sqref="A1:T251"/>
    </sheetView>
  </sheetViews>
  <sheetFormatPr defaultRowHeight="14.4" x14ac:dyDescent="0.3"/>
  <cols>
    <col min="4" max="4" width="11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EE010-7368-4240-A2D4-EC3C02095543}">
  <dimension ref="A1:C14"/>
  <sheetViews>
    <sheetView workbookViewId="0">
      <selection activeCell="D15" sqref="D15"/>
    </sheetView>
  </sheetViews>
  <sheetFormatPr defaultRowHeight="14.4" x14ac:dyDescent="0.3"/>
  <cols>
    <col min="1" max="1" width="25.109375" style="9" customWidth="1"/>
    <col min="2" max="2" width="15.109375" style="6" customWidth="1"/>
    <col min="3" max="3" width="11.109375" style="6" bestFit="1" customWidth="1"/>
  </cols>
  <sheetData>
    <row r="1" spans="1:3" x14ac:dyDescent="0.3">
      <c r="B1" s="18" t="s">
        <v>8387</v>
      </c>
      <c r="C1" s="18" t="s">
        <v>8388</v>
      </c>
    </row>
    <row r="2" spans="1:3" x14ac:dyDescent="0.3">
      <c r="A2" s="9" t="s">
        <v>8383</v>
      </c>
      <c r="B2" s="6">
        <f>ROUND(AVERAGE('Successful US Kickstarters'!D:D), 0)</f>
        <v>5049</v>
      </c>
      <c r="C2" s="6">
        <f>ROUND(AVERAGE('Failed US KIckstarters'!D:D), )</f>
        <v>10554</v>
      </c>
    </row>
    <row r="3" spans="1:3" x14ac:dyDescent="0.3">
      <c r="A3" s="9" t="s">
        <v>8384</v>
      </c>
      <c r="B3" s="6">
        <f>ROUND(MEDIAN('Successful US Kickstarters'!D:D), 0)</f>
        <v>3000</v>
      </c>
      <c r="C3" s="6">
        <f>ROUND(MEDIAN('Failed US KIckstarters'!D:D), 0)</f>
        <v>5000</v>
      </c>
    </row>
    <row r="4" spans="1:3" x14ac:dyDescent="0.3">
      <c r="A4" s="9" t="s">
        <v>8389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">
      <c r="A5" s="9" t="s">
        <v>8390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3">
      <c r="A6" s="9" t="s">
        <v>8391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3">
      <c r="A7" s="9" t="s">
        <v>8392</v>
      </c>
      <c r="B7" s="6">
        <f>B5-B6</f>
        <v>3500</v>
      </c>
      <c r="C7" s="6">
        <f>C5-C6</f>
        <v>8000</v>
      </c>
    </row>
    <row r="9" spans="1:3" x14ac:dyDescent="0.3">
      <c r="A9" s="9" t="s">
        <v>8385</v>
      </c>
      <c r="B9" s="6">
        <f>ROUND(AVERAGE('Successful US Kickstarters'!E:E), 0)</f>
        <v>5602</v>
      </c>
      <c r="C9" s="6">
        <f>ROUND(AVERAGE('Failed US KIckstarters'!E:E), 0)</f>
        <v>559</v>
      </c>
    </row>
    <row r="10" spans="1:3" x14ac:dyDescent="0.3">
      <c r="A10" s="9" t="s">
        <v>8386</v>
      </c>
      <c r="B10" s="6">
        <f>ROUND(MEDIAN('Successful US Kickstarters'!E:E), )</f>
        <v>3168</v>
      </c>
      <c r="C10" s="6">
        <f>ROUND(MEDIAN('Failed US KIckstarters'!E:E), 0)</f>
        <v>103</v>
      </c>
    </row>
    <row r="11" spans="1:3" x14ac:dyDescent="0.3">
      <c r="A11" s="9" t="s">
        <v>8393</v>
      </c>
      <c r="B11" s="6">
        <f>ROUND(_xlfn.STDEV.P('Successful US Kickstarters'!E:E), 0)</f>
        <v>8335</v>
      </c>
      <c r="C11" s="6">
        <f>ROUND(_xlfn.STDEV.P('Failed US KIckstarters'!E:E), 0)</f>
        <v>1331</v>
      </c>
    </row>
    <row r="12" spans="1:3" x14ac:dyDescent="0.3">
      <c r="A12" s="9" t="s">
        <v>8394</v>
      </c>
      <c r="B12" s="6">
        <f>ROUND(_xlfn.QUARTILE.EXC('Successful US Kickstarters'!E:E, 3), 0)</f>
        <v>5699</v>
      </c>
      <c r="C12" s="6">
        <f>ROUND(_xlfn.QUARTILE.EXC('Failed US KIckstarters'!E:E, 3), 0)</f>
        <v>501</v>
      </c>
    </row>
    <row r="13" spans="1:3" x14ac:dyDescent="0.3">
      <c r="A13" s="9" t="s">
        <v>8395</v>
      </c>
      <c r="B13" s="6">
        <f>ROUND(_xlfn.QUARTILE.EXC('Successful US Kickstarters'!E:E, 1), 0)</f>
        <v>1717</v>
      </c>
      <c r="C13" s="6">
        <f>ROUND(_xlfn.QUARTILE.EXC('Failed US KIckstarters'!E:E, 1), 0)</f>
        <v>9</v>
      </c>
    </row>
    <row r="14" spans="1:3" x14ac:dyDescent="0.3">
      <c r="A14" s="9" t="s">
        <v>8396</v>
      </c>
      <c r="B14" s="6">
        <f>B12-B13</f>
        <v>3982</v>
      </c>
      <c r="C14" s="6">
        <f>C12-C13</f>
        <v>492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Outcomes Based on Goals</vt:lpstr>
      <vt:lpstr>Sheet4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Strobach</cp:lastModifiedBy>
  <dcterms:created xsi:type="dcterms:W3CDTF">2017-04-20T15:17:24Z</dcterms:created>
  <dcterms:modified xsi:type="dcterms:W3CDTF">2021-09-01T11:19:59Z</dcterms:modified>
</cp:coreProperties>
</file>